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①カム設計" sheetId="1" state="visible" r:id="rId3"/>
    <sheet name="②クランク機構設計" sheetId="2" state="visible" r:id="rId4"/>
    <sheet name="③ラック&amp;ピニオン" sheetId="3" state="visible" r:id="rId5"/>
    <sheet name="📖 使い方ガイド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<sst xmlns="http://schemas.openxmlformats.org/spreadsheetml/2006/main" count="290" uniqueCount="225">
  <si>
    <t xml:space="preserve">📐 カム設計 圧力角チェックリスト ＆ 自動計算ツール</t>
  </si>
  <si>
    <r>
      <rPr>
        <i val="true"/>
        <sz val="9"/>
        <color rgb="FF666666"/>
        <rFont val="Arial"/>
        <family val="0"/>
        <charset val="1"/>
      </rPr>
      <t xml:space="preserve">CADHACK</t>
    </r>
    <r>
      <rPr>
        <i val="true"/>
        <sz val="9"/>
        <color rgb="FF666666"/>
        <rFont val="Noto Sans CJK SC"/>
        <family val="2"/>
      </rPr>
      <t xml:space="preserve">【設計者の</t>
    </r>
    <r>
      <rPr>
        <i val="true"/>
        <sz val="9"/>
        <color rgb="FF666666"/>
        <rFont val="Arial"/>
        <family val="0"/>
        <charset val="1"/>
      </rPr>
      <t xml:space="preserve">AI</t>
    </r>
    <r>
      <rPr>
        <i val="true"/>
        <sz val="9"/>
        <color rgb="FF666666"/>
        <rFont val="Noto Sans CJK SC"/>
        <family val="2"/>
      </rPr>
      <t xml:space="preserve">・</t>
    </r>
    <r>
      <rPr>
        <i val="true"/>
        <sz val="9"/>
        <color rgb="FF666666"/>
        <rFont val="Arial"/>
        <family val="0"/>
        <charset val="1"/>
      </rPr>
      <t xml:space="preserve">CAD</t>
    </r>
    <r>
      <rPr>
        <i val="true"/>
        <sz val="9"/>
        <color rgb="FF666666"/>
        <rFont val="Noto Sans CJK SC"/>
        <family val="2"/>
      </rPr>
      <t xml:space="preserve">効率化メディア】読者限定</t>
    </r>
    <r>
      <rPr>
        <i val="true"/>
        <sz val="9"/>
        <color rgb="FF666666"/>
        <rFont val="Arial"/>
        <family val="0"/>
        <charset val="1"/>
      </rPr>
      <t xml:space="preserve">3</t>
    </r>
    <r>
      <rPr>
        <i val="true"/>
        <sz val="9"/>
        <color rgb="FF666666"/>
        <rFont val="Noto Sans CJK SC"/>
        <family val="2"/>
      </rPr>
      <t xml:space="preserve">点セット特典  ｜  無断転載禁止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</si>
  <si>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1</t>
    </r>
    <r>
      <rPr>
        <b val="true"/>
        <sz val="11"/>
        <color rgb="FFFFFFFF"/>
        <rFont val="Noto Sans CJK SC"/>
        <family val="2"/>
      </rPr>
      <t xml:space="preserve">】圧力角 クイック判定表</t>
    </r>
  </si>
  <si>
    <r>
      <rPr>
        <b val="true"/>
        <sz val="9"/>
        <color rgb="FFFFFFFF"/>
        <rFont val="Noto Sans CJK SC"/>
        <family val="2"/>
      </rPr>
      <t xml:space="preserve">圧力角 </t>
    </r>
    <r>
      <rPr>
        <b val="true"/>
        <sz val="9"/>
        <color rgb="FFFFFFFF"/>
        <rFont val="Arial"/>
        <family val="0"/>
        <charset val="1"/>
      </rPr>
      <t xml:space="preserve">α</t>
    </r>
  </si>
  <si>
    <t xml:space="preserve">状態判定</t>
  </si>
  <si>
    <r>
      <rPr>
        <b val="true"/>
        <sz val="9"/>
        <color rgb="FFFFFFFF"/>
        <rFont val="Noto Sans CJK SC"/>
        <family val="2"/>
      </rPr>
      <t xml:space="preserve">伝達効率（</t>
    </r>
    <r>
      <rPr>
        <b val="true"/>
        <sz val="9"/>
        <color rgb="FFFFFFFF"/>
        <rFont val="Arial"/>
        <family val="0"/>
        <charset val="1"/>
      </rPr>
      <t xml:space="preserve">cos α</t>
    </r>
    <r>
      <rPr>
        <b val="true"/>
        <sz val="9"/>
        <color rgb="FFFFFFFF"/>
        <rFont val="Noto Sans CJK SC"/>
        <family val="2"/>
      </rPr>
      <t xml:space="preserve">）</t>
    </r>
  </si>
  <si>
    <t xml:space="preserve">フォロワー負荷</t>
  </si>
  <si>
    <t xml:space="preserve">摩耗リスク</t>
  </si>
  <si>
    <t xml:space="preserve">推奨用途</t>
  </si>
  <si>
    <t xml:space="preserve">対策・コメント</t>
  </si>
  <si>
    <r>
      <rPr>
        <sz val="10"/>
        <color rgb="FF333333"/>
        <rFont val="Arial"/>
        <family val="0"/>
        <charset val="1"/>
      </rPr>
      <t xml:space="preserve">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15°</t>
    </r>
  </si>
  <si>
    <t xml:space="preserve">✅ 優良</t>
  </si>
  <si>
    <t xml:space="preserve">非常に低い</t>
  </si>
  <si>
    <t xml:space="preserve">◎ 極低</t>
  </si>
  <si>
    <t xml:space="preserve">高速・精密装置</t>
  </si>
  <si>
    <t xml:space="preserve">理想的な設計</t>
  </si>
  <si>
    <r>
      <rPr>
        <sz val="10"/>
        <color rgb="FF333333"/>
        <rFont val="Arial"/>
        <family val="0"/>
        <charset val="1"/>
      </rPr>
      <t xml:space="preserve">15°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30°</t>
    </r>
  </si>
  <si>
    <t xml:space="preserve">✅ 良好</t>
  </si>
  <si>
    <t xml:space="preserve">低〜中</t>
  </si>
  <si>
    <t xml:space="preserve">○ 低</t>
  </si>
  <si>
    <t xml:space="preserve">汎用機械・一般産業</t>
  </si>
  <si>
    <t xml:space="preserve">定期点検を推奨</t>
  </si>
  <si>
    <r>
      <rPr>
        <sz val="10"/>
        <color rgb="FF333333"/>
        <rFont val="Arial"/>
        <family val="0"/>
        <charset val="1"/>
      </rPr>
      <t xml:space="preserve">30°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45°</t>
    </r>
  </si>
  <si>
    <t xml:space="preserve">⚠️ 注意</t>
  </si>
  <si>
    <t xml:space="preserve">中〜高</t>
  </si>
  <si>
    <t xml:space="preserve">△ 中</t>
  </si>
  <si>
    <t xml:space="preserve">低速・重荷重専用</t>
  </si>
  <si>
    <t xml:space="preserve">フォロワー径アップ検討</t>
  </si>
  <si>
    <r>
      <rPr>
        <sz val="10"/>
        <color rgb="FF333333"/>
        <rFont val="Arial"/>
        <family val="0"/>
        <charset val="1"/>
      </rPr>
      <t xml:space="preserve">45°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60°</t>
    </r>
  </si>
  <si>
    <t xml:space="preserve">🔶 警告</t>
  </si>
  <si>
    <t xml:space="preserve">高</t>
  </si>
  <si>
    <t xml:space="preserve">▲ 高</t>
  </si>
  <si>
    <t xml:space="preserve">原則避ける</t>
  </si>
  <si>
    <t xml:space="preserve">カム輪郭を再設計</t>
  </si>
  <si>
    <r>
      <rPr>
        <sz val="10"/>
        <color rgb="FF333333"/>
        <rFont val="Arial"/>
        <family val="0"/>
        <charset val="1"/>
      </rPr>
      <t xml:space="preserve">60°</t>
    </r>
    <r>
      <rPr>
        <sz val="10"/>
        <color rgb="FF333333"/>
        <rFont val="Noto Sans CJK SC"/>
        <family val="2"/>
      </rPr>
      <t xml:space="preserve">以上</t>
    </r>
  </si>
  <si>
    <t xml:space="preserve">🔴 危険</t>
  </si>
  <si>
    <t xml:space="preserve">過大</t>
  </si>
  <si>
    <t xml:space="preserve">✕ 非常に高</t>
  </si>
  <si>
    <r>
      <rPr>
        <sz val="10"/>
        <color rgb="FF333333"/>
        <rFont val="Noto Sans CJK SC"/>
        <family val="2"/>
      </rPr>
      <t xml:space="preserve">設計</t>
    </r>
    <r>
      <rPr>
        <sz val="10"/>
        <color rgb="FF333333"/>
        <rFont val="Arial"/>
        <family val="0"/>
        <charset val="1"/>
      </rPr>
      <t xml:space="preserve">NG</t>
    </r>
  </si>
  <si>
    <t xml:space="preserve">設計変更必須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</si>
  <si>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2</t>
    </r>
    <r>
      <rPr>
        <b val="true"/>
        <sz val="11"/>
        <color rgb="FFFFFFFF"/>
        <rFont val="Noto Sans CJK SC"/>
        <family val="2"/>
      </rPr>
      <t xml:space="preserve">】カム設計 実務チェックリスト（設計前〜検証）</t>
    </r>
  </si>
  <si>
    <t xml:space="preserve">フェーズ</t>
  </si>
  <si>
    <t xml:space="preserve">チェック項目</t>
  </si>
  <si>
    <t xml:space="preserve">判定基準</t>
  </si>
  <si>
    <t xml:space="preserve">チェック</t>
  </si>
  <si>
    <t xml:space="preserve">担当者</t>
  </si>
  <si>
    <t xml:space="preserve">備考</t>
  </si>
  <si>
    <t xml:space="preserve">設計前</t>
  </si>
  <si>
    <t xml:space="preserve">カムの目的・運動形態確認</t>
  </si>
  <si>
    <t xml:space="preserve">上昇・停留・下降・停留の確認</t>
  </si>
  <si>
    <t xml:space="preserve">フォロワー種類の選定</t>
  </si>
  <si>
    <r>
      <rPr>
        <sz val="10"/>
        <color rgb="FF555555"/>
        <rFont val="Noto Sans CJK SC"/>
        <family val="2"/>
      </rPr>
      <t xml:space="preserve">平面 </t>
    </r>
    <r>
      <rPr>
        <sz val="10"/>
        <color rgb="FF555555"/>
        <rFont val="Arial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ローラ </t>
    </r>
    <r>
      <rPr>
        <sz val="10"/>
        <color rgb="FF555555"/>
        <rFont val="Arial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揺動</t>
    </r>
  </si>
  <si>
    <t xml:space="preserve">ベースサークル径の仮決定</t>
  </si>
  <si>
    <r>
      <rPr>
        <sz val="10"/>
        <color rgb="FF555555"/>
        <rFont val="Noto Sans CJK SC"/>
        <family val="2"/>
      </rPr>
      <t xml:space="preserve">リフト量の</t>
    </r>
    <r>
      <rPr>
        <sz val="10"/>
        <color rgb="FF555555"/>
        <rFont val="Arial"/>
        <family val="0"/>
        <charset val="1"/>
      </rPr>
      <t xml:space="preserve">1.5</t>
    </r>
    <r>
      <rPr>
        <sz val="10"/>
        <color rgb="FF555555"/>
        <rFont val="Noto Sans CJK SC"/>
        <family val="2"/>
      </rPr>
      <t xml:space="preserve">〜</t>
    </r>
    <r>
      <rPr>
        <sz val="10"/>
        <color rgb="FF555555"/>
        <rFont val="Arial"/>
        <family val="0"/>
        <charset val="1"/>
      </rPr>
      <t xml:space="preserve">2</t>
    </r>
    <r>
      <rPr>
        <sz val="10"/>
        <color rgb="FF555555"/>
        <rFont val="Noto Sans CJK SC"/>
        <family val="2"/>
      </rPr>
      <t xml:space="preserve">倍を目安</t>
    </r>
  </si>
  <si>
    <t xml:space="preserve">輪郭設計</t>
  </si>
  <si>
    <t xml:space="preserve">圧力角の最大値確認</t>
  </si>
  <si>
    <r>
      <rPr>
        <sz val="10"/>
        <color rgb="FF555555"/>
        <rFont val="Noto Sans CJK SC"/>
        <family val="2"/>
      </rPr>
      <t xml:space="preserve">最大</t>
    </r>
    <r>
      <rPr>
        <sz val="10"/>
        <color rgb="FF555555"/>
        <rFont val="Arial"/>
        <family val="0"/>
        <charset val="1"/>
      </rPr>
      <t xml:space="preserve">30°</t>
    </r>
    <r>
      <rPr>
        <sz val="10"/>
        <color rgb="FF555555"/>
        <rFont val="Noto Sans CJK SC"/>
        <family val="2"/>
      </rPr>
      <t xml:space="preserve">以内（目標）</t>
    </r>
  </si>
  <si>
    <t xml:space="preserve">リフト量の妥当性確認</t>
  </si>
  <si>
    <r>
      <rPr>
        <sz val="10"/>
        <color rgb="FF555555"/>
        <rFont val="Noto Sans CJK SC"/>
        <family val="2"/>
      </rPr>
      <t xml:space="preserve">ベースサークル比</t>
    </r>
    <r>
      <rPr>
        <sz val="10"/>
        <color rgb="FF555555"/>
        <rFont val="Arial"/>
        <family val="0"/>
        <charset val="1"/>
      </rPr>
      <t xml:space="preserve">30%</t>
    </r>
    <r>
      <rPr>
        <sz val="10"/>
        <color rgb="FF555555"/>
        <rFont val="Noto Sans CJK SC"/>
        <family val="2"/>
      </rPr>
      <t xml:space="preserve">以内推奨</t>
    </r>
  </si>
  <si>
    <t xml:space="preserve">カム輪郭の連続性確認</t>
  </si>
  <si>
    <t xml:space="preserve">変曲点・急変箇所がないこと</t>
  </si>
  <si>
    <t xml:space="preserve">干渉確認</t>
  </si>
  <si>
    <t xml:space="preserve">隣接部品との干渉チェック</t>
  </si>
  <si>
    <r>
      <rPr>
        <sz val="10"/>
        <color rgb="FF555555"/>
        <rFont val="Arial"/>
        <family val="0"/>
        <charset val="1"/>
      </rPr>
      <t xml:space="preserve">SolidWorks</t>
    </r>
    <r>
      <rPr>
        <sz val="10"/>
        <color rgb="FF555555"/>
        <rFont val="Noto Sans CJK SC"/>
        <family val="2"/>
      </rPr>
      <t xml:space="preserve">で</t>
    </r>
    <r>
      <rPr>
        <sz val="10"/>
        <color rgb="FF555555"/>
        <rFont val="Arial"/>
        <family val="0"/>
        <charset val="1"/>
      </rPr>
      <t xml:space="preserve">3D</t>
    </r>
    <r>
      <rPr>
        <sz val="10"/>
        <color rgb="FF555555"/>
        <rFont val="Noto Sans CJK SC"/>
        <family val="2"/>
      </rPr>
      <t xml:space="preserve">干渉確認</t>
    </r>
  </si>
  <si>
    <t xml:space="preserve">フォロワー軌跡の確認</t>
  </si>
  <si>
    <t xml:space="preserve">モーションスタディで動作確認</t>
  </si>
  <si>
    <t xml:space="preserve">強度確認</t>
  </si>
  <si>
    <t xml:space="preserve">カム材質の選定</t>
  </si>
  <si>
    <r>
      <rPr>
        <sz val="10"/>
        <color rgb="FF555555"/>
        <rFont val="Arial"/>
        <family val="0"/>
        <charset val="1"/>
      </rPr>
      <t xml:space="preserve">S45C / SCM415 </t>
    </r>
    <r>
      <rPr>
        <sz val="10"/>
        <color rgb="FF555555"/>
        <rFont val="Noto Sans CJK SC"/>
        <family val="2"/>
      </rPr>
      <t xml:space="preserve">浸炭焼入れ等</t>
    </r>
  </si>
  <si>
    <t xml:space="preserve">ヘルツ応力の確認</t>
  </si>
  <si>
    <t xml:space="preserve">許容面圧以下であること</t>
  </si>
  <si>
    <t xml:space="preserve">最終確認</t>
  </si>
  <si>
    <t xml:space="preserve">潤滑方式の確認</t>
  </si>
  <si>
    <r>
      <rPr>
        <sz val="10"/>
        <color rgb="FF555555"/>
        <rFont val="Noto Sans CJK SC"/>
        <family val="2"/>
      </rPr>
      <t xml:space="preserve">グリース </t>
    </r>
    <r>
      <rPr>
        <sz val="10"/>
        <color rgb="FF555555"/>
        <rFont val="Arial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オイル </t>
    </r>
    <r>
      <rPr>
        <sz val="10"/>
        <color rgb="FF555555"/>
        <rFont val="Arial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乾式</t>
    </r>
  </si>
  <si>
    <t xml:space="preserve">設計レビュー完了</t>
  </si>
  <si>
    <r>
      <rPr>
        <sz val="10"/>
        <color rgb="FF555555"/>
        <rFont val="Noto Sans CJK SC"/>
        <family val="2"/>
      </rPr>
      <t xml:space="preserve">上長 </t>
    </r>
    <r>
      <rPr>
        <sz val="10"/>
        <color rgb="FF555555"/>
        <rFont val="Arial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チームレビュー済み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</si>
  <si>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3</t>
    </r>
    <r>
      <rPr>
        <b val="true"/>
        <sz val="11"/>
        <color rgb="FFFFFFFF"/>
        <rFont val="Noto Sans CJK SC"/>
        <family val="2"/>
      </rPr>
      <t xml:space="preserve">】圧力角 自動計算ツール（黄色セルに数値を入力）</t>
    </r>
  </si>
  <si>
    <r>
      <rPr>
        <b val="true"/>
        <sz val="10"/>
        <color rgb="FF1A3A5C"/>
        <rFont val="Noto Sans CJK SC"/>
        <family val="2"/>
      </rPr>
      <t xml:space="preserve">ベースサークル半径 </t>
    </r>
    <r>
      <rPr>
        <b val="true"/>
        <sz val="10"/>
        <color rgb="FF1A3A5C"/>
        <rFont val="Arial"/>
        <family val="0"/>
        <charset val="1"/>
      </rPr>
      <t xml:space="preserve">r₀ (mm)</t>
    </r>
  </si>
  <si>
    <t xml:space="preserve">mm</t>
  </si>
  <si>
    <r>
      <rPr>
        <b val="true"/>
        <sz val="10"/>
        <color rgb="FF1A3A5C"/>
        <rFont val="Noto Sans CJK SC"/>
        <family val="2"/>
      </rPr>
      <t xml:space="preserve">最大リフト量 </t>
    </r>
    <r>
      <rPr>
        <b val="true"/>
        <sz val="10"/>
        <color rgb="FF1A3A5C"/>
        <rFont val="Arial"/>
        <family val="0"/>
        <charset val="1"/>
      </rPr>
      <t xml:space="preserve">h (mm)</t>
    </r>
  </si>
  <si>
    <r>
      <rPr>
        <b val="true"/>
        <sz val="10"/>
        <color rgb="FF1A3A5C"/>
        <rFont val="Noto Sans CJK SC"/>
        <family val="2"/>
      </rPr>
      <t xml:space="preserve">カム回転角 </t>
    </r>
    <r>
      <rPr>
        <b val="true"/>
        <sz val="10"/>
        <color rgb="FF1A3A5C"/>
        <rFont val="Arial"/>
        <family val="0"/>
        <charset val="1"/>
      </rPr>
      <t xml:space="preserve">θ (°)</t>
    </r>
  </si>
  <si>
    <t xml:space="preserve">°</t>
  </si>
  <si>
    <r>
      <rPr>
        <b val="true"/>
        <sz val="10"/>
        <color rgb="FF1A3A5C"/>
        <rFont val="Noto Sans CJK SC"/>
        <family val="2"/>
      </rPr>
      <t xml:space="preserve">フォロワーオフセット </t>
    </r>
    <r>
      <rPr>
        <b val="true"/>
        <sz val="10"/>
        <color rgb="FF1A3A5C"/>
        <rFont val="Arial"/>
        <family val="0"/>
        <charset val="1"/>
      </rPr>
      <t xml:space="preserve">e (mm)</t>
    </r>
  </si>
  <si>
    <t xml:space="preserve">計算項目</t>
  </si>
  <si>
    <t xml:space="preserve">算出値</t>
  </si>
  <si>
    <t xml:space="preserve">単位</t>
  </si>
  <si>
    <t xml:space="preserve">判定</t>
  </si>
  <si>
    <r>
      <rPr>
        <b val="true"/>
        <sz val="10"/>
        <color rgb="FF333333"/>
        <rFont val="Noto Sans CJK SC"/>
        <family val="2"/>
      </rPr>
      <t xml:space="preserve">瞬間速度比 </t>
    </r>
    <r>
      <rPr>
        <b val="true"/>
        <sz val="10"/>
        <color rgb="FF333333"/>
        <rFont val="Arial"/>
        <family val="0"/>
        <charset val="1"/>
      </rPr>
      <t xml:space="preserve">(h/θ</t>
    </r>
    <r>
      <rPr>
        <b val="true"/>
        <sz val="10"/>
        <color rgb="FF333333"/>
        <rFont val="Noto Sans CJK SC"/>
        <family val="2"/>
      </rPr>
      <t xml:space="preserve">比</t>
    </r>
    <r>
      <rPr>
        <b val="true"/>
        <sz val="10"/>
        <color rgb="FF333333"/>
        <rFont val="Arial"/>
        <family val="0"/>
        <charset val="1"/>
      </rPr>
      <t xml:space="preserve">)</t>
    </r>
  </si>
  <si>
    <t xml:space="preserve">mm/rad</t>
  </si>
  <si>
    <r>
      <rPr>
        <b val="true"/>
        <sz val="10"/>
        <color rgb="FF333333"/>
        <rFont val="Noto Sans CJK SC"/>
        <family val="2"/>
      </rPr>
      <t xml:space="preserve">等速近似 最大圧力角 </t>
    </r>
    <r>
      <rPr>
        <b val="true"/>
        <sz val="10"/>
        <color rgb="FF333333"/>
        <rFont val="Arial"/>
        <family val="0"/>
        <charset val="1"/>
      </rPr>
      <t xml:space="preserve">α_max</t>
    </r>
  </si>
  <si>
    <t xml:space="preserve">推奨ベースサークル最小値</t>
  </si>
  <si>
    <r>
      <rPr>
        <i val="true"/>
        <sz val="9"/>
        <color rgb="FF666666"/>
        <rFont val="Noto Sans CJK SC"/>
        <family val="2"/>
      </rPr>
      <t xml:space="preserve">※ 黄色セル（</t>
    </r>
    <r>
      <rPr>
        <i val="true"/>
        <sz val="9"/>
        <color rgb="FF666666"/>
        <rFont val="Arial"/>
        <family val="0"/>
        <charset val="1"/>
      </rPr>
      <t xml:space="preserve">F</t>
    </r>
    <r>
      <rPr>
        <i val="true"/>
        <sz val="9"/>
        <color rgb="FF666666"/>
        <rFont val="Noto Sans CJK SC"/>
        <family val="2"/>
      </rPr>
      <t xml:space="preserve">列）の数値を変更すると自動で再計算されます。圧力角は等速カム近似式による概算値です。</t>
    </r>
    <r>
      <rPr>
        <i val="true"/>
        <sz val="9"/>
        <color rgb="FF666666"/>
        <rFont val="Arial"/>
        <family val="0"/>
        <charset val="1"/>
      </rPr>
      <t xml:space="preserve">SolidWorks</t>
    </r>
    <r>
      <rPr>
        <i val="true"/>
        <sz val="9"/>
        <color rgb="FF666666"/>
        <rFont val="Noto Sans CJK SC"/>
        <family val="2"/>
      </rPr>
      <t xml:space="preserve">のモーションスタディで必ず確認してください。</t>
    </r>
  </si>
  <si>
    <t xml:space="preserve">🔩 クランク機構 設計パラメータ計算シート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</si>
  <si>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1</t>
    </r>
    <r>
      <rPr>
        <b val="true"/>
        <sz val="11"/>
        <color rgb="FFFFFFFF"/>
        <rFont val="Noto Sans CJK SC"/>
        <family val="2"/>
      </rPr>
      <t xml:space="preserve">】クランク機構 基本パラメータ入力（黄色セルを変更）</t>
    </r>
  </si>
  <si>
    <r>
      <rPr>
        <b val="true"/>
        <sz val="10"/>
        <color rgb="FF1A3A5C"/>
        <rFont val="Noto Sans CJK SC"/>
        <family val="2"/>
      </rPr>
      <t xml:space="preserve">クランク半径 </t>
    </r>
    <r>
      <rPr>
        <b val="true"/>
        <sz val="10"/>
        <color rgb="FF1A3A5C"/>
        <rFont val="Arial"/>
        <family val="0"/>
        <charset val="1"/>
      </rPr>
      <t xml:space="preserve">r (mm)</t>
    </r>
  </si>
  <si>
    <r>
      <rPr>
        <b val="true"/>
        <sz val="10"/>
        <color rgb="FF1A3A5C"/>
        <rFont val="Noto Sans CJK SC"/>
        <family val="2"/>
      </rPr>
      <t xml:space="preserve">連接棒長さ </t>
    </r>
    <r>
      <rPr>
        <b val="true"/>
        <sz val="10"/>
        <color rgb="FF1A3A5C"/>
        <rFont val="Arial"/>
        <family val="0"/>
        <charset val="1"/>
      </rPr>
      <t xml:space="preserve">L (mm)</t>
    </r>
  </si>
  <si>
    <r>
      <rPr>
        <b val="true"/>
        <sz val="10"/>
        <color rgb="FF1A3A5C"/>
        <rFont val="Noto Sans CJK SC"/>
        <family val="2"/>
      </rPr>
      <t xml:space="preserve">クランク角速度 </t>
    </r>
    <r>
      <rPr>
        <b val="true"/>
        <sz val="10"/>
        <color rgb="FF1A3A5C"/>
        <rFont val="Arial"/>
        <family val="0"/>
        <charset val="1"/>
      </rPr>
      <t xml:space="preserve">ω (rpm)</t>
    </r>
  </si>
  <si>
    <t xml:space="preserve">rpm</t>
  </si>
  <si>
    <r>
      <rPr>
        <b val="true"/>
        <sz val="10"/>
        <color rgb="FF1A3A5C"/>
        <rFont val="Noto Sans CJK SC"/>
        <family val="2"/>
      </rPr>
      <t xml:space="preserve">スライダ質量 </t>
    </r>
    <r>
      <rPr>
        <b val="true"/>
        <sz val="10"/>
        <color rgb="FF1A3A5C"/>
        <rFont val="Arial"/>
        <family val="0"/>
        <charset val="1"/>
      </rPr>
      <t xml:space="preserve">m (kg)</t>
    </r>
  </si>
  <si>
    <t xml:space="preserve">kg</t>
  </si>
  <si>
    <r>
      <rPr>
        <b val="true"/>
        <sz val="10"/>
        <color rgb="FF1A3A5C"/>
        <rFont val="Noto Sans CJK SC"/>
        <family val="2"/>
      </rPr>
      <t xml:space="preserve">摩擦係数 </t>
    </r>
    <r>
      <rPr>
        <b val="true"/>
        <sz val="10"/>
        <color rgb="FF1A3A5C"/>
        <rFont val="Arial"/>
        <family val="0"/>
        <charset val="1"/>
      </rPr>
      <t xml:space="preserve">μ</t>
    </r>
    <r>
      <rPr>
        <b val="true"/>
        <sz val="10"/>
        <color rgb="FF1A3A5C"/>
        <rFont val="Noto Sans CJK SC"/>
        <family val="2"/>
      </rPr>
      <t xml:space="preserve">（スライダ部）</t>
    </r>
  </si>
  <si>
    <t xml:space="preserve">—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</si>
  <si>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2</t>
    </r>
    <r>
      <rPr>
        <b val="true"/>
        <sz val="11"/>
        <color rgb="FFFFFFFF"/>
        <rFont val="Noto Sans CJK SC"/>
        <family val="2"/>
      </rPr>
      <t xml:space="preserve">】ストローク＆速度計算（自動算出）</t>
    </r>
  </si>
  <si>
    <r>
      <rPr>
        <b val="true"/>
        <sz val="10"/>
        <color rgb="FF333333"/>
        <rFont val="Noto Sans CJK SC"/>
        <family val="2"/>
      </rPr>
      <t xml:space="preserve">ストローク </t>
    </r>
    <r>
      <rPr>
        <b val="true"/>
        <sz val="10"/>
        <color rgb="FF333333"/>
        <rFont val="Arial"/>
        <family val="0"/>
        <charset val="1"/>
      </rPr>
      <t xml:space="preserve">S (=2r)</t>
    </r>
  </si>
  <si>
    <t xml:space="preserve">上死点〜下死点の距離</t>
  </si>
  <si>
    <r>
      <rPr>
        <b val="true"/>
        <sz val="10"/>
        <color rgb="FF333333"/>
        <rFont val="Noto Sans CJK SC"/>
        <family val="2"/>
      </rPr>
      <t xml:space="preserve">連接棒比 </t>
    </r>
    <r>
      <rPr>
        <b val="true"/>
        <sz val="10"/>
        <color rgb="FF333333"/>
        <rFont val="Arial"/>
        <family val="0"/>
        <charset val="1"/>
      </rPr>
      <t xml:space="preserve">λ (=r/L)</t>
    </r>
  </si>
  <si>
    <r>
      <rPr>
        <sz val="10"/>
        <color rgb="FF777777"/>
        <rFont val="Arial"/>
        <family val="0"/>
        <charset val="1"/>
      </rPr>
      <t xml:space="preserve">0.25</t>
    </r>
    <r>
      <rPr>
        <sz val="10"/>
        <color rgb="FF777777"/>
        <rFont val="Noto Sans CJK SC"/>
        <family val="2"/>
      </rPr>
      <t xml:space="preserve">〜</t>
    </r>
    <r>
      <rPr>
        <sz val="10"/>
        <color rgb="FF777777"/>
        <rFont val="Arial"/>
        <family val="0"/>
        <charset val="1"/>
      </rPr>
      <t xml:space="preserve">0.33</t>
    </r>
    <r>
      <rPr>
        <sz val="10"/>
        <color rgb="FF777777"/>
        <rFont val="Noto Sans CJK SC"/>
        <family val="2"/>
      </rPr>
      <t xml:space="preserve">が一般的</t>
    </r>
  </si>
  <si>
    <r>
      <rPr>
        <sz val="10"/>
        <color rgb="FF333333"/>
        <rFont val="Noto Sans CJK SC"/>
        <family val="2"/>
      </rPr>
      <t xml:space="preserve">角速度 </t>
    </r>
    <r>
      <rPr>
        <sz val="10"/>
        <color rgb="FF333333"/>
        <rFont val="Arial"/>
        <family val="0"/>
        <charset val="1"/>
      </rPr>
      <t xml:space="preserve">ω (rad/s)</t>
    </r>
  </si>
  <si>
    <t xml:space="preserve">rad/s</t>
  </si>
  <si>
    <r>
      <rPr>
        <sz val="10"/>
        <color rgb="FF333333"/>
        <rFont val="Noto Sans CJK SC"/>
        <family val="2"/>
      </rPr>
      <t xml:space="preserve">ピストン最大速度 </t>
    </r>
    <r>
      <rPr>
        <sz val="10"/>
        <color rgb="FF333333"/>
        <rFont val="Arial"/>
        <family val="0"/>
        <charset val="1"/>
      </rPr>
      <t xml:space="preserve">(</t>
    </r>
    <r>
      <rPr>
        <sz val="10"/>
        <color rgb="FF333333"/>
        <rFont val="Noto Sans CJK SC"/>
        <family val="2"/>
      </rPr>
      <t xml:space="preserve">近似</t>
    </r>
    <r>
      <rPr>
        <sz val="10"/>
        <color rgb="FF333333"/>
        <rFont val="Arial"/>
        <family val="0"/>
        <charset val="1"/>
      </rPr>
      <t xml:space="preserve">)</t>
    </r>
  </si>
  <si>
    <t xml:space="preserve">mm/s</t>
  </si>
  <si>
    <t xml:space="preserve">上死点付近で最大</t>
  </si>
  <si>
    <t xml:space="preserve">上死点でのトルク</t>
  </si>
  <si>
    <t xml:space="preserve">N·mm</t>
  </si>
  <si>
    <r>
      <rPr>
        <sz val="10"/>
        <color rgb="FF777777"/>
        <rFont val="Noto Sans CJK SC"/>
        <family val="2"/>
      </rPr>
      <t xml:space="preserve">死点のため理論値</t>
    </r>
    <r>
      <rPr>
        <sz val="10"/>
        <color rgb="FF777777"/>
        <rFont val="Arial"/>
        <family val="0"/>
        <charset val="1"/>
      </rPr>
      <t xml:space="preserve">0</t>
    </r>
  </si>
  <si>
    <t xml:space="preserve">必要フライホイール慣性 概算</t>
  </si>
  <si>
    <t xml:space="preserve">kg·mm²</t>
  </si>
  <si>
    <t xml:space="preserve">負荷トルク変動入力時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</si>
  <si>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3</t>
    </r>
    <r>
      <rPr>
        <b val="true"/>
        <sz val="11"/>
        <color rgb="FFFFFFFF"/>
        <rFont val="Noto Sans CJK SC"/>
        <family val="2"/>
      </rPr>
      <t xml:space="preserve">】死点チェック＆対策判定</t>
    </r>
  </si>
  <si>
    <t xml:space="preserve">死点の種類</t>
  </si>
  <si>
    <t xml:space="preserve">クランク角度</t>
  </si>
  <si>
    <t xml:space="preserve">状態説明</t>
  </si>
  <si>
    <t xml:space="preserve">対策</t>
  </si>
  <si>
    <r>
      <rPr>
        <b val="true"/>
        <sz val="10"/>
        <color rgb="FFC62828"/>
        <rFont val="Noto Sans CJK SC"/>
        <family val="2"/>
      </rPr>
      <t xml:space="preserve">上死点 </t>
    </r>
    <r>
      <rPr>
        <b val="true"/>
        <sz val="10"/>
        <color rgb="FFC62828"/>
        <rFont val="Arial"/>
        <family val="0"/>
        <charset val="1"/>
      </rPr>
      <t xml:space="preserve">(TDC)</t>
    </r>
  </si>
  <si>
    <t xml:space="preserve">0° / 360°</t>
  </si>
  <si>
    <r>
      <rPr>
        <sz val="10"/>
        <color rgb="FF555555"/>
        <rFont val="Noto Sans CJK SC"/>
        <family val="2"/>
      </rPr>
      <t xml:space="preserve">クランク・連接棒が伸びきり。スライダ最前進位置。トルク理論値</t>
    </r>
    <r>
      <rPr>
        <sz val="10"/>
        <color rgb="FF555555"/>
        <rFont val="Arial"/>
        <family val="0"/>
        <charset val="1"/>
      </rPr>
      <t xml:space="preserve">=0</t>
    </r>
  </si>
  <si>
    <r>
      <rPr>
        <b val="true"/>
        <sz val="10"/>
        <color rgb="FF1A3A5C"/>
        <rFont val="Noto Sans CJK SC"/>
        <family val="2"/>
      </rPr>
      <t xml:space="preserve">フライホイール </t>
    </r>
    <r>
      <rPr>
        <b val="true"/>
        <sz val="10"/>
        <color rgb="FF1A3A5C"/>
        <rFont val="Arial"/>
        <family val="0"/>
        <charset val="1"/>
      </rPr>
      <t xml:space="preserve">/ </t>
    </r>
    <r>
      <rPr>
        <b val="true"/>
        <sz val="10"/>
        <color rgb="FF1A3A5C"/>
        <rFont val="Noto Sans CJK SC"/>
        <family val="2"/>
      </rPr>
      <t xml:space="preserve">位相差</t>
    </r>
  </si>
  <si>
    <r>
      <rPr>
        <b val="true"/>
        <sz val="10"/>
        <color rgb="FFC62828"/>
        <rFont val="Noto Sans CJK SC"/>
        <family val="2"/>
      </rPr>
      <t xml:space="preserve">下死点 </t>
    </r>
    <r>
      <rPr>
        <b val="true"/>
        <sz val="10"/>
        <color rgb="FFC62828"/>
        <rFont val="Arial"/>
        <family val="0"/>
        <charset val="1"/>
      </rPr>
      <t xml:space="preserve">(BDC)</t>
    </r>
  </si>
  <si>
    <t xml:space="preserve">180°</t>
  </si>
  <si>
    <t xml:space="preserve">クランク・連接棒が折り重なり。スライダ最後退位置。同上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</si>
  <si>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4</t>
    </r>
    <r>
      <rPr>
        <b val="true"/>
        <sz val="11"/>
        <color rgb="FFFFFFFF"/>
        <rFont val="Noto Sans CJK SC"/>
        <family val="2"/>
      </rPr>
      <t xml:space="preserve">】死点対策 方式比較チェックリスト</t>
    </r>
  </si>
  <si>
    <t xml:space="preserve">対策方式</t>
  </si>
  <si>
    <t xml:space="preserve">効果</t>
  </si>
  <si>
    <t xml:space="preserve">コスト</t>
  </si>
  <si>
    <t xml:space="preserve">適用場面</t>
  </si>
  <si>
    <t xml:space="preserve">適合性チェック</t>
  </si>
  <si>
    <t xml:space="preserve">フライホイール</t>
  </si>
  <si>
    <t xml:space="preserve">◎ 高</t>
  </si>
  <si>
    <t xml:space="preserve">中</t>
  </si>
  <si>
    <t xml:space="preserve">高速連続運転</t>
  </si>
  <si>
    <t xml:space="preserve">位相差クランク</t>
  </si>
  <si>
    <t xml:space="preserve">◎ 非常に高</t>
  </si>
  <si>
    <t xml:space="preserve">多軸・高出力装置</t>
  </si>
  <si>
    <t xml:space="preserve">オフセット配置</t>
  </si>
  <si>
    <t xml:space="preserve">○ 中</t>
  </si>
  <si>
    <t xml:space="preserve">低</t>
  </si>
  <si>
    <t xml:space="preserve">省スペース・小型機</t>
  </si>
  <si>
    <t xml:space="preserve">サーボ制御補正</t>
  </si>
  <si>
    <t xml:space="preserve">既存設備改修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</si>
  <si>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5</t>
    </r>
    <r>
      <rPr>
        <b val="true"/>
        <sz val="11"/>
        <color rgb="FFFFFFFF"/>
        <rFont val="Noto Sans CJK SC"/>
        <family val="2"/>
      </rPr>
      <t xml:space="preserve">】クランク角度別スライダ位置テーブル（自動生成）</t>
    </r>
  </si>
  <si>
    <r>
      <rPr>
        <b val="true"/>
        <sz val="9"/>
        <color rgb="FFFFFFFF"/>
        <rFont val="Noto Sans CJK SC"/>
        <family val="2"/>
      </rPr>
      <t xml:space="preserve">角度 </t>
    </r>
    <r>
      <rPr>
        <b val="true"/>
        <sz val="9"/>
        <color rgb="FFFFFFFF"/>
        <rFont val="Arial"/>
        <family val="0"/>
        <charset val="1"/>
      </rPr>
      <t xml:space="preserve">θ (°)</t>
    </r>
  </si>
  <si>
    <r>
      <rPr>
        <b val="true"/>
        <sz val="9"/>
        <color rgb="FFFFFFFF"/>
        <rFont val="Noto Sans CJK SC"/>
        <family val="2"/>
      </rPr>
      <t xml:space="preserve">スライダ位置 </t>
    </r>
    <r>
      <rPr>
        <b val="true"/>
        <sz val="9"/>
        <color rgb="FFFFFFFF"/>
        <rFont val="Arial"/>
        <family val="0"/>
        <charset val="1"/>
      </rPr>
      <t xml:space="preserve">x (mm)</t>
    </r>
  </si>
  <si>
    <r>
      <rPr>
        <b val="true"/>
        <sz val="9"/>
        <color rgb="FFFFFFFF"/>
        <rFont val="Noto Sans CJK SC"/>
        <family val="2"/>
      </rPr>
      <t xml:space="preserve">速度 </t>
    </r>
    <r>
      <rPr>
        <b val="true"/>
        <sz val="9"/>
        <color rgb="FFFFFFFF"/>
        <rFont val="Arial"/>
        <family val="0"/>
        <charset val="1"/>
      </rPr>
      <t xml:space="preserve">dx/dθ (mm/°)</t>
    </r>
  </si>
  <si>
    <t xml:space="preserve">加速度</t>
  </si>
  <si>
    <r>
      <rPr>
        <b val="true"/>
        <sz val="9"/>
        <color rgb="FFFFFFFF"/>
        <rFont val="Noto Sans CJK SC"/>
        <family val="2"/>
      </rPr>
      <t xml:space="preserve">位置</t>
    </r>
    <r>
      <rPr>
        <b val="true"/>
        <sz val="9"/>
        <color rgb="FFFFFFFF"/>
        <rFont val="Arial"/>
        <family val="0"/>
        <charset val="1"/>
      </rPr>
      <t xml:space="preserve">/</t>
    </r>
    <r>
      <rPr>
        <b val="true"/>
        <sz val="9"/>
        <color rgb="FFFFFFFF"/>
        <rFont val="Noto Sans CJK SC"/>
        <family val="2"/>
      </rPr>
      <t xml:space="preserve">ストローク比</t>
    </r>
  </si>
  <si>
    <t xml:space="preserve">⚠️ 死点</t>
  </si>
  <si>
    <t xml:space="preserve">⚙️ ラック＆ピニオン バックラッシュ設計管理シート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</si>
  <si>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1</t>
    </r>
    <r>
      <rPr>
        <b val="true"/>
        <sz val="11"/>
        <color rgb="FFFFFFFF"/>
        <rFont val="Noto Sans CJK SC"/>
        <family val="2"/>
      </rPr>
      <t xml:space="preserve">】モジュール別 バックラッシュ適正値 早見表</t>
    </r>
  </si>
  <si>
    <r>
      <rPr>
        <b val="true"/>
        <sz val="9"/>
        <color rgb="FFFFFFFF"/>
        <rFont val="Noto Sans CJK SC"/>
        <family val="2"/>
      </rPr>
      <t xml:space="preserve">モジュール </t>
    </r>
    <r>
      <rPr>
        <b val="true"/>
        <sz val="9"/>
        <color rgb="FFFFFFFF"/>
        <rFont val="Arial"/>
        <family val="0"/>
        <charset val="1"/>
      </rPr>
      <t xml:space="preserve">m</t>
    </r>
  </si>
  <si>
    <r>
      <rPr>
        <b val="true"/>
        <sz val="9"/>
        <color rgb="FFFFFFFF"/>
        <rFont val="Arial"/>
        <family val="0"/>
        <charset val="1"/>
      </rPr>
      <t xml:space="preserve">JIS</t>
    </r>
    <r>
      <rPr>
        <b val="true"/>
        <sz val="9"/>
        <color rgb="FFFFFFFF"/>
        <rFont val="Noto Sans CJK SC"/>
        <family val="2"/>
      </rPr>
      <t xml:space="preserve">精度</t>
    </r>
  </si>
  <si>
    <r>
      <rPr>
        <b val="true"/>
        <sz val="9"/>
        <color rgb="FFFFFFFF"/>
        <rFont val="Noto Sans CJK SC"/>
        <family val="2"/>
      </rPr>
      <t xml:space="preserve">最小</t>
    </r>
    <r>
      <rPr>
        <b val="true"/>
        <sz val="9"/>
        <color rgb="FFFFFFFF"/>
        <rFont val="Arial"/>
        <family val="0"/>
        <charset val="1"/>
      </rPr>
      <t xml:space="preserve">BL (mm)</t>
    </r>
  </si>
  <si>
    <r>
      <rPr>
        <b val="true"/>
        <sz val="9"/>
        <color rgb="FFFFFFFF"/>
        <rFont val="Noto Sans CJK SC"/>
        <family val="2"/>
      </rPr>
      <t xml:space="preserve">標準</t>
    </r>
    <r>
      <rPr>
        <b val="true"/>
        <sz val="9"/>
        <color rgb="FFFFFFFF"/>
        <rFont val="Arial"/>
        <family val="0"/>
        <charset val="1"/>
      </rPr>
      <t xml:space="preserve">BL (mm)</t>
    </r>
  </si>
  <si>
    <r>
      <rPr>
        <b val="true"/>
        <sz val="9"/>
        <color rgb="FFFFFFFF"/>
        <rFont val="Noto Sans CJK SC"/>
        <family val="2"/>
      </rPr>
      <t xml:space="preserve">最大</t>
    </r>
    <r>
      <rPr>
        <b val="true"/>
        <sz val="9"/>
        <color rgb="FFFFFFFF"/>
        <rFont val="Arial"/>
        <family val="0"/>
        <charset val="1"/>
      </rPr>
      <t xml:space="preserve">BL (mm)</t>
    </r>
  </si>
  <si>
    <t xml:space="preserve">適用例</t>
  </si>
  <si>
    <r>
      <rPr>
        <sz val="10"/>
        <color rgb="FF333333"/>
        <rFont val="Arial"/>
        <family val="0"/>
        <charset val="1"/>
      </rPr>
      <t xml:space="preserve">3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4</t>
    </r>
    <r>
      <rPr>
        <sz val="10"/>
        <color rgb="FF333333"/>
        <rFont val="Noto Sans CJK SC"/>
        <family val="2"/>
      </rPr>
      <t xml:space="preserve">級（精密）</t>
    </r>
  </si>
  <si>
    <t xml:space="preserve">← この範囲内で管理</t>
  </si>
  <si>
    <t xml:space="preserve">精密位置決め・半導体装置</t>
  </si>
  <si>
    <r>
      <rPr>
        <sz val="10"/>
        <color rgb="FF333333"/>
        <rFont val="Arial"/>
        <family val="0"/>
        <charset val="1"/>
      </rPr>
      <t xml:space="preserve">6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8</t>
    </r>
    <r>
      <rPr>
        <sz val="10"/>
        <color rgb="FF333333"/>
        <rFont val="Noto Sans CJK SC"/>
        <family val="2"/>
      </rPr>
      <t xml:space="preserve">級（汎用）</t>
    </r>
  </si>
  <si>
    <t xml:space="preserve">一般搬送・汎用機械</t>
  </si>
  <si>
    <t xml:space="preserve">精密装置・測定機</t>
  </si>
  <si>
    <t xml:space="preserve">一般産業機械</t>
  </si>
  <si>
    <t xml:space="preserve">工作機械・精密搬送</t>
  </si>
  <si>
    <t xml:space="preserve">重荷重搬送・一般機械</t>
  </si>
  <si>
    <t xml:space="preserve">大型搬送・重機</t>
  </si>
  <si>
    <t xml:space="preserve">大型・重荷重用途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</si>
  <si>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2</t>
    </r>
    <r>
      <rPr>
        <b val="true"/>
        <sz val="11"/>
        <color rgb="FFFFFFFF"/>
        <rFont val="Noto Sans CJK SC"/>
        <family val="2"/>
      </rPr>
      <t xml:space="preserve">】バックラッシュ 自動計算ツール（黄色セルに入力）</t>
    </r>
  </si>
  <si>
    <r>
      <rPr>
        <b val="true"/>
        <sz val="10"/>
        <color rgb="FF1A3A5C"/>
        <rFont val="Noto Sans CJK SC"/>
        <family val="2"/>
      </rPr>
      <t xml:space="preserve">モジュール </t>
    </r>
    <r>
      <rPr>
        <b val="true"/>
        <sz val="10"/>
        <color rgb="FF1A3A5C"/>
        <rFont val="Arial"/>
        <family val="0"/>
        <charset val="1"/>
      </rPr>
      <t xml:space="preserve">m</t>
    </r>
  </si>
  <si>
    <r>
      <rPr>
        <b val="true"/>
        <sz val="10"/>
        <color rgb="FF1A3A5C"/>
        <rFont val="Noto Sans CJK SC"/>
        <family val="2"/>
      </rPr>
      <t xml:space="preserve">圧力角 </t>
    </r>
    <r>
      <rPr>
        <b val="true"/>
        <sz val="10"/>
        <color rgb="FF1A3A5C"/>
        <rFont val="Arial"/>
        <family val="0"/>
        <charset val="1"/>
      </rPr>
      <t xml:space="preserve">α (°)</t>
    </r>
  </si>
  <si>
    <r>
      <rPr>
        <b val="true"/>
        <sz val="10"/>
        <color rgb="FF1A3A5C"/>
        <rFont val="Noto Sans CJK SC"/>
        <family val="2"/>
      </rPr>
      <t xml:space="preserve">センタ距離設計値 </t>
    </r>
    <r>
      <rPr>
        <b val="true"/>
        <sz val="10"/>
        <color rgb="FF1A3A5C"/>
        <rFont val="Arial"/>
        <family val="0"/>
        <charset val="1"/>
      </rPr>
      <t xml:space="preserve">A₀ (mm)</t>
    </r>
  </si>
  <si>
    <r>
      <rPr>
        <b val="true"/>
        <sz val="10"/>
        <color rgb="FF1A3A5C"/>
        <rFont val="Noto Sans CJK SC"/>
        <family val="2"/>
      </rPr>
      <t xml:space="preserve">センタ距離実測値 </t>
    </r>
    <r>
      <rPr>
        <b val="true"/>
        <sz val="10"/>
        <color rgb="FF1A3A5C"/>
        <rFont val="Arial"/>
        <family val="0"/>
        <charset val="1"/>
      </rPr>
      <t xml:space="preserve">A (mm)</t>
    </r>
  </si>
  <si>
    <r>
      <rPr>
        <b val="true"/>
        <sz val="10"/>
        <color rgb="FF1A3A5C"/>
        <rFont val="Noto Sans CJK SC"/>
        <family val="2"/>
      </rPr>
      <t xml:space="preserve">ピニオン歯数 </t>
    </r>
    <r>
      <rPr>
        <b val="true"/>
        <sz val="10"/>
        <color rgb="FF1A3A5C"/>
        <rFont val="Arial"/>
        <family val="0"/>
        <charset val="1"/>
      </rPr>
      <t xml:space="preserve">z</t>
    </r>
  </si>
  <si>
    <t xml:space="preserve">枚</t>
  </si>
  <si>
    <r>
      <rPr>
        <b val="true"/>
        <sz val="10"/>
        <color rgb="FF333333"/>
        <rFont val="Noto Sans CJK SC"/>
        <family val="2"/>
      </rPr>
      <t xml:space="preserve">センタ距離誤差 </t>
    </r>
    <r>
      <rPr>
        <b val="true"/>
        <sz val="10"/>
        <color rgb="FF333333"/>
        <rFont val="Arial"/>
        <family val="0"/>
        <charset val="1"/>
      </rPr>
      <t xml:space="preserve">ΔA</t>
    </r>
  </si>
  <si>
    <r>
      <rPr>
        <b val="true"/>
        <sz val="10"/>
        <color rgb="FF333333"/>
        <rFont val="Noto Sans CJK SC"/>
        <family val="2"/>
      </rPr>
      <t xml:space="preserve">バックラッシュ量 </t>
    </r>
    <r>
      <rPr>
        <b val="true"/>
        <sz val="10"/>
        <color rgb="FF333333"/>
        <rFont val="Arial"/>
        <family val="0"/>
        <charset val="1"/>
      </rPr>
      <t xml:space="preserve">j ≈ 2×ΔA×tan(α)</t>
    </r>
  </si>
  <si>
    <r>
      <rPr>
        <b val="true"/>
        <sz val="10"/>
        <color rgb="FF333333"/>
        <rFont val="Noto Sans CJK SC"/>
        <family val="2"/>
      </rPr>
      <t xml:space="preserve">ピッチ円直径 </t>
    </r>
    <r>
      <rPr>
        <b val="true"/>
        <sz val="10"/>
        <color rgb="FF333333"/>
        <rFont val="Arial"/>
        <family val="0"/>
        <charset val="1"/>
      </rPr>
      <t xml:space="preserve">d (=m×z)</t>
    </r>
  </si>
  <si>
    <r>
      <rPr>
        <b val="true"/>
        <sz val="10"/>
        <color rgb="FF333333"/>
        <rFont val="Noto Sans CJK SC"/>
        <family val="2"/>
      </rPr>
      <t xml:space="preserve">歯先円直径 </t>
    </r>
    <r>
      <rPr>
        <b val="true"/>
        <sz val="10"/>
        <color rgb="FF333333"/>
        <rFont val="Arial"/>
        <family val="0"/>
        <charset val="1"/>
      </rPr>
      <t xml:space="preserve">da (=d+2m)</t>
    </r>
  </si>
  <si>
    <r>
      <rPr>
        <b val="true"/>
        <sz val="10"/>
        <color rgb="FF333333"/>
        <rFont val="Noto Sans CJK SC"/>
        <family val="2"/>
      </rPr>
      <t xml:space="preserve">最小推奨センタ距離（</t>
    </r>
    <r>
      <rPr>
        <b val="true"/>
        <sz val="10"/>
        <color rgb="FF333333"/>
        <rFont val="Arial"/>
        <family val="0"/>
        <charset val="1"/>
      </rPr>
      <t xml:space="preserve">BL=0.08mm</t>
    </r>
    <r>
      <rPr>
        <b val="true"/>
        <sz val="10"/>
        <color rgb="FF333333"/>
        <rFont val="Noto Sans CJK SC"/>
        <family val="2"/>
      </rPr>
      <t xml:space="preserve">時）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</si>
  <si>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3</t>
    </r>
    <r>
      <rPr>
        <b val="true"/>
        <sz val="11"/>
        <color rgb="FFFFFFFF"/>
        <rFont val="Noto Sans CJK SC"/>
        <family val="2"/>
      </rPr>
      <t xml:space="preserve">】バックラッシュ対策 方式比較チェックリスト</t>
    </r>
  </si>
  <si>
    <t xml:space="preserve">対策手法</t>
  </si>
  <si>
    <t xml:space="preserve">精度向上</t>
  </si>
  <si>
    <t xml:space="preserve">摩耗改善</t>
  </si>
  <si>
    <t xml:space="preserve">採用判定</t>
  </si>
  <si>
    <t xml:space="preserve">① センタ距離調整</t>
  </si>
  <si>
    <t xml:space="preserve">◎ 低</t>
  </si>
  <si>
    <t xml:space="preserve">△</t>
  </si>
  <si>
    <t xml:space="preserve">汎用装置・まず試す</t>
  </si>
  <si>
    <t xml:space="preserve">② ダブルラック</t>
  </si>
  <si>
    <t xml:space="preserve">◎ 最高</t>
  </si>
  <si>
    <t xml:space="preserve">○</t>
  </si>
  <si>
    <t xml:space="preserve">精密・半導体・医療</t>
  </si>
  <si>
    <t xml:space="preserve">③ テーパーラック</t>
  </si>
  <si>
    <t xml:space="preserve">○ 高</t>
  </si>
  <si>
    <t xml:space="preserve">△ 中〜高</t>
  </si>
  <si>
    <t xml:space="preserve">再調整が必要な長期機</t>
  </si>
  <si>
    <t xml:space="preserve">④ サーボ補正（電気）</t>
  </si>
  <si>
    <t xml:space="preserve">✕</t>
  </si>
  <si>
    <t xml:space="preserve">既存設備改修・後付け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</si>
  <si>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4</t>
    </r>
    <r>
      <rPr>
        <b val="true"/>
        <sz val="11"/>
        <color rgb="FFFFFFFF"/>
        <rFont val="Noto Sans CJK SC"/>
        <family val="2"/>
      </rPr>
      <t xml:space="preserve">】バックラッシュ 定期計測記録</t>
    </r>
  </si>
  <si>
    <t xml:space="preserve">計測日</t>
  </si>
  <si>
    <t xml:space="preserve">計測者</t>
  </si>
  <si>
    <r>
      <rPr>
        <b val="true"/>
        <sz val="9"/>
        <color rgb="FFFFFFFF"/>
        <rFont val="Noto Sans CJK SC"/>
        <family val="2"/>
      </rPr>
      <t xml:space="preserve">センタ距離 </t>
    </r>
    <r>
      <rPr>
        <b val="true"/>
        <sz val="9"/>
        <color rgb="FFFFFFFF"/>
        <rFont val="Arial"/>
        <family val="0"/>
        <charset val="1"/>
      </rPr>
      <t xml:space="preserve">(mm)</t>
    </r>
  </si>
  <si>
    <r>
      <rPr>
        <b val="true"/>
        <sz val="9"/>
        <color rgb="FFFFFFFF"/>
        <rFont val="Noto Sans CJK SC"/>
        <family val="2"/>
      </rPr>
      <t xml:space="preserve">バックラッシュ </t>
    </r>
    <r>
      <rPr>
        <b val="true"/>
        <sz val="9"/>
        <color rgb="FFFFFFFF"/>
        <rFont val="Arial"/>
        <family val="0"/>
        <charset val="1"/>
      </rPr>
      <t xml:space="preserve">(mm)</t>
    </r>
  </si>
  <si>
    <t xml:space="preserve">処置内容</t>
  </si>
  <si>
    <r>
      <rPr>
        <i val="true"/>
        <sz val="9"/>
        <color rgb="FF666666"/>
        <rFont val="Noto Sans CJK SC"/>
        <family val="2"/>
      </rPr>
      <t xml:space="preserve">※ バックラッシュ量は概算式（</t>
    </r>
    <r>
      <rPr>
        <i val="true"/>
        <sz val="9"/>
        <color rgb="FF666666"/>
        <rFont val="Arial"/>
        <family val="0"/>
        <charset val="1"/>
      </rPr>
      <t xml:space="preserve">j≈2×ΔA×tanα</t>
    </r>
    <r>
      <rPr>
        <i val="true"/>
        <sz val="9"/>
        <color rgb="FF666666"/>
        <rFont val="Noto Sans CJK SC"/>
        <family val="2"/>
      </rPr>
      <t xml:space="preserve">）による計算値です。実測値と合わせて確認してください。精密用途は必ず</t>
    </r>
    <r>
      <rPr>
        <i val="true"/>
        <sz val="9"/>
        <color rgb="FF666666"/>
        <rFont val="Arial"/>
        <family val="0"/>
        <charset val="1"/>
      </rPr>
      <t xml:space="preserve">KHK</t>
    </r>
    <r>
      <rPr>
        <i val="true"/>
        <sz val="9"/>
        <color rgb="FF666666"/>
        <rFont val="Noto Sans CJK SC"/>
        <family val="2"/>
      </rPr>
      <t xml:space="preserve">等の歯車専門メーカーに照会ください。</t>
    </r>
  </si>
  <si>
    <r>
      <rPr>
        <b val="true"/>
        <sz val="13"/>
        <color rgb="FFFFFFFF"/>
        <rFont val="Noto Sans CJK SC"/>
        <family val="2"/>
      </rPr>
      <t xml:space="preserve">📖 使い方ガイド ｜ </t>
    </r>
    <r>
      <rPr>
        <b val="true"/>
        <sz val="13"/>
        <color rgb="FFFFFFFF"/>
        <rFont val="Arial"/>
        <family val="0"/>
        <charset val="1"/>
      </rPr>
      <t xml:space="preserve">CADHACK </t>
    </r>
    <r>
      <rPr>
        <b val="true"/>
        <sz val="13"/>
        <color rgb="FFFFFFFF"/>
        <rFont val="Noto Sans CJK SC"/>
        <family val="2"/>
      </rPr>
      <t xml:space="preserve">機構設計ツール 読者限定</t>
    </r>
    <r>
      <rPr>
        <b val="true"/>
        <sz val="13"/>
        <color rgb="FFFFFFFF"/>
        <rFont val="Arial"/>
        <family val="0"/>
        <charset val="1"/>
      </rPr>
      <t xml:space="preserve">3</t>
    </r>
    <r>
      <rPr>
        <b val="true"/>
        <sz val="13"/>
        <color rgb="FFFFFFFF"/>
        <rFont val="Noto Sans CJK SC"/>
        <family val="2"/>
      </rPr>
      <t xml:space="preserve">点セット</t>
    </r>
  </si>
  <si>
    <t xml:space="preserve">①カム設計シートの使い方</t>
  </si>
  <si>
    <r>
      <rPr>
        <sz val="10"/>
        <color rgb="FF333333"/>
        <rFont val="Arial"/>
        <family val="0"/>
        <charset val="1"/>
      </rPr>
      <t xml:space="preserve">SECTION 1</t>
    </r>
    <r>
      <rPr>
        <sz val="10"/>
        <color rgb="FF333333"/>
        <rFont val="Noto Sans CJK SC"/>
        <family val="2"/>
      </rPr>
      <t xml:space="preserve">：圧力角の状態をカラーコードで瞬時に判定できます。
</t>
    </r>
    <r>
      <rPr>
        <sz val="10"/>
        <color rgb="FF333333"/>
        <rFont val="Arial"/>
        <family val="0"/>
        <charset val="1"/>
      </rPr>
      <t xml:space="preserve">SECTION 2</t>
    </r>
    <r>
      <rPr>
        <sz val="10"/>
        <color rgb="FF333333"/>
        <rFont val="Noto Sans CJK SC"/>
        <family val="2"/>
      </rPr>
      <t xml:space="preserve">：設計フェーズ別チェックリスト。ドロップダウン（✅</t>
    </r>
    <r>
      <rPr>
        <sz val="10"/>
        <color rgb="FF333333"/>
        <rFont val="Arial"/>
        <family val="0"/>
        <charset val="1"/>
      </rPr>
      <t xml:space="preserve">/⚠️/🔴</t>
    </r>
    <r>
      <rPr>
        <sz val="10"/>
        <color rgb="FF333333"/>
        <rFont val="Noto Sans CJK SC"/>
        <family val="2"/>
      </rPr>
      <t xml:space="preserve">）で進捗管理。
</t>
    </r>
    <r>
      <rPr>
        <sz val="10"/>
        <color rgb="FF333333"/>
        <rFont val="Arial"/>
        <family val="0"/>
        <charset val="1"/>
      </rPr>
      <t xml:space="preserve">SECTION 3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F</t>
    </r>
    <r>
      <rPr>
        <sz val="10"/>
        <color rgb="FF333333"/>
        <rFont val="Noto Sans CJK SC"/>
        <family val="2"/>
      </rPr>
      <t xml:space="preserve">列の黄色セルに数値を入力すると圧力角が自動計算されます。
　　　　　　・</t>
    </r>
    <r>
      <rPr>
        <sz val="10"/>
        <color rgb="FF333333"/>
        <rFont val="Arial"/>
        <family val="0"/>
        <charset val="1"/>
      </rPr>
      <t xml:space="preserve">F28</t>
    </r>
    <r>
      <rPr>
        <sz val="10"/>
        <color rgb="FF333333"/>
        <rFont val="Noto Sans CJK SC"/>
        <family val="2"/>
      </rPr>
      <t xml:space="preserve">：ベースサークル半径 </t>
    </r>
    <r>
      <rPr>
        <sz val="10"/>
        <color rgb="FF333333"/>
        <rFont val="Arial"/>
        <family val="0"/>
        <charset val="1"/>
      </rPr>
      <t xml:space="preserve">/ F29</t>
    </r>
    <r>
      <rPr>
        <sz val="10"/>
        <color rgb="FF333333"/>
        <rFont val="Noto Sans CJK SC"/>
        <family val="2"/>
      </rPr>
      <t xml:space="preserve">：リフト量 </t>
    </r>
    <r>
      <rPr>
        <sz val="10"/>
        <color rgb="FF333333"/>
        <rFont val="Arial"/>
        <family val="0"/>
        <charset val="1"/>
      </rPr>
      <t xml:space="preserve">/ F30</t>
    </r>
    <r>
      <rPr>
        <sz val="10"/>
        <color rgb="FF333333"/>
        <rFont val="Noto Sans CJK SC"/>
        <family val="2"/>
      </rPr>
      <t xml:space="preserve">：回転角 を変更してください。</t>
    </r>
  </si>
  <si>
    <t xml:space="preserve">②クランク機構設計シートの使い方</t>
  </si>
  <si>
    <r>
      <rPr>
        <sz val="10"/>
        <color rgb="FF333333"/>
        <rFont val="Arial"/>
        <family val="0"/>
        <charset val="1"/>
      </rPr>
      <t xml:space="preserve">SECTION 1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G</t>
    </r>
    <r>
      <rPr>
        <sz val="10"/>
        <color rgb="FF333333"/>
        <rFont val="Noto Sans CJK SC"/>
        <family val="2"/>
      </rPr>
      <t xml:space="preserve">列の黄色セルにパラメータを入力してください。
</t>
    </r>
    <r>
      <rPr>
        <sz val="10"/>
        <color rgb="FF333333"/>
        <rFont val="Arial"/>
        <family val="0"/>
        <charset val="1"/>
      </rPr>
      <t xml:space="preserve">SECTION 2</t>
    </r>
    <r>
      <rPr>
        <sz val="10"/>
        <color rgb="FF333333"/>
        <rFont val="Noto Sans CJK SC"/>
        <family val="2"/>
      </rPr>
      <t xml:space="preserve">：ストローク・速度・連接棒比が自動計算されます。
</t>
    </r>
    <r>
      <rPr>
        <sz val="10"/>
        <color rgb="FF333333"/>
        <rFont val="Arial"/>
        <family val="0"/>
        <charset val="1"/>
      </rPr>
      <t xml:space="preserve">SECTION 3</t>
    </r>
    <r>
      <rPr>
        <sz val="10"/>
        <color rgb="FF333333"/>
        <rFont val="Noto Sans CJK SC"/>
        <family val="2"/>
      </rPr>
      <t xml:space="preserve">：死点位置（</t>
    </r>
    <r>
      <rPr>
        <sz val="10"/>
        <color rgb="FF333333"/>
        <rFont val="Arial"/>
        <family val="0"/>
        <charset val="1"/>
      </rPr>
      <t xml:space="preserve">0°/180°</t>
    </r>
    <r>
      <rPr>
        <sz val="10"/>
        <color rgb="FF333333"/>
        <rFont val="Noto Sans CJK SC"/>
        <family val="2"/>
      </rPr>
      <t xml:space="preserve">）を赤でハイライト表示します。
</t>
    </r>
    <r>
      <rPr>
        <sz val="10"/>
        <color rgb="FF333333"/>
        <rFont val="Arial"/>
        <family val="0"/>
        <charset val="1"/>
      </rPr>
      <t xml:space="preserve">SECTION 4</t>
    </r>
    <r>
      <rPr>
        <sz val="10"/>
        <color rgb="FF333333"/>
        <rFont val="Noto Sans CJK SC"/>
        <family val="2"/>
      </rPr>
      <t xml:space="preserve">：死点対策をドロップダウン（✅採用</t>
    </r>
    <r>
      <rPr>
        <sz val="10"/>
        <color rgb="FF333333"/>
        <rFont val="Arial"/>
        <family val="0"/>
        <charset val="1"/>
      </rPr>
      <t xml:space="preserve">/⬜</t>
    </r>
    <r>
      <rPr>
        <sz val="10"/>
        <color rgb="FF333333"/>
        <rFont val="Noto Sans CJK SC"/>
        <family val="2"/>
      </rPr>
      <t xml:space="preserve">未検討</t>
    </r>
    <r>
      <rPr>
        <sz val="10"/>
        <color rgb="FF333333"/>
        <rFont val="Arial"/>
        <family val="0"/>
        <charset val="1"/>
      </rPr>
      <t xml:space="preserve">/❌</t>
    </r>
    <r>
      <rPr>
        <sz val="10"/>
        <color rgb="FF333333"/>
        <rFont val="Noto Sans CJK SC"/>
        <family val="2"/>
      </rPr>
      <t xml:space="preserve">不採用）で管理。
</t>
    </r>
    <r>
      <rPr>
        <sz val="10"/>
        <color rgb="FF333333"/>
        <rFont val="Arial"/>
        <family val="0"/>
        <charset val="1"/>
      </rPr>
      <t xml:space="preserve">SECTION 5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360°</t>
    </r>
    <r>
      <rPr>
        <sz val="10"/>
        <color rgb="FF333333"/>
        <rFont val="Noto Sans CJK SC"/>
        <family val="2"/>
      </rPr>
      <t xml:space="preserve">全</t>
    </r>
    <r>
      <rPr>
        <sz val="10"/>
        <color rgb="FF333333"/>
        <rFont val="Arial"/>
        <family val="0"/>
        <charset val="1"/>
      </rPr>
      <t xml:space="preserve">36</t>
    </r>
    <r>
      <rPr>
        <sz val="10"/>
        <color rgb="FF333333"/>
        <rFont val="Noto Sans CJK SC"/>
        <family val="2"/>
      </rPr>
      <t xml:space="preserve">ポイントのスライダ位置テーブル（死点行は赤背景）。</t>
    </r>
  </si>
  <si>
    <r>
      <rPr>
        <b val="true"/>
        <sz val="11"/>
        <color rgb="FFFFFFFF"/>
        <rFont val="Noto Sans CJK SC"/>
        <family val="2"/>
      </rPr>
      <t xml:space="preserve">③ラック</t>
    </r>
    <r>
      <rPr>
        <b val="true"/>
        <sz val="11"/>
        <color rgb="FFFFFFFF"/>
        <rFont val="Arial"/>
        <family val="0"/>
        <charset val="1"/>
      </rPr>
      <t xml:space="preserve">&amp;</t>
    </r>
    <r>
      <rPr>
        <b val="true"/>
        <sz val="11"/>
        <color rgb="FFFFFFFF"/>
        <rFont val="Noto Sans CJK SC"/>
        <family val="2"/>
      </rPr>
      <t xml:space="preserve">ピニオンシートの使い方</t>
    </r>
  </si>
  <si>
    <r>
      <rPr>
        <sz val="10"/>
        <color rgb="FF333333"/>
        <rFont val="Arial"/>
        <family val="0"/>
        <charset val="1"/>
      </rPr>
      <t xml:space="preserve">SECTION 1</t>
    </r>
    <r>
      <rPr>
        <sz val="10"/>
        <color rgb="FF333333"/>
        <rFont val="Noto Sans CJK SC"/>
        <family val="2"/>
      </rPr>
      <t xml:space="preserve">：モジュール・精度グレード別のバックラッシュ適正値早見表。
</t>
    </r>
    <r>
      <rPr>
        <sz val="10"/>
        <color rgb="FF333333"/>
        <rFont val="Arial"/>
        <family val="0"/>
        <charset val="1"/>
      </rPr>
      <t xml:space="preserve">SECTION 2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G</t>
    </r>
    <r>
      <rPr>
        <sz val="10"/>
        <color rgb="FF333333"/>
        <rFont val="Noto Sans CJK SC"/>
        <family val="2"/>
      </rPr>
      <t xml:space="preserve">列の黄色セルに設計値・実測値を入力するとバックラッシュ量を自動計算。
　　　　　　・</t>
    </r>
    <r>
      <rPr>
        <sz val="10"/>
        <color rgb="FF333333"/>
        <rFont val="Arial"/>
        <family val="0"/>
        <charset val="1"/>
      </rPr>
      <t xml:space="preserve">G16</t>
    </r>
    <r>
      <rPr>
        <sz val="10"/>
        <color rgb="FF333333"/>
        <rFont val="Noto Sans CJK SC"/>
        <family val="2"/>
      </rPr>
      <t xml:space="preserve">：モジュール </t>
    </r>
    <r>
      <rPr>
        <sz val="10"/>
        <color rgb="FF333333"/>
        <rFont val="Arial"/>
        <family val="0"/>
        <charset val="1"/>
      </rPr>
      <t xml:space="preserve">/ G17</t>
    </r>
    <r>
      <rPr>
        <sz val="10"/>
        <color rgb="FF333333"/>
        <rFont val="Noto Sans CJK SC"/>
        <family val="2"/>
      </rPr>
      <t xml:space="preserve">：圧力角 </t>
    </r>
    <r>
      <rPr>
        <sz val="10"/>
        <color rgb="FF333333"/>
        <rFont val="Arial"/>
        <family val="0"/>
        <charset val="1"/>
      </rPr>
      <t xml:space="preserve">/ G19</t>
    </r>
    <r>
      <rPr>
        <sz val="10"/>
        <color rgb="FF333333"/>
        <rFont val="Noto Sans CJK SC"/>
        <family val="2"/>
      </rPr>
      <t xml:space="preserve">：設計センタ距離 </t>
    </r>
    <r>
      <rPr>
        <sz val="10"/>
        <color rgb="FF333333"/>
        <rFont val="Arial"/>
        <family val="0"/>
        <charset val="1"/>
      </rPr>
      <t xml:space="preserve">/ G20</t>
    </r>
    <r>
      <rPr>
        <sz val="10"/>
        <color rgb="FF333333"/>
        <rFont val="Noto Sans CJK SC"/>
        <family val="2"/>
      </rPr>
      <t xml:space="preserve">：実測値。
</t>
    </r>
    <r>
      <rPr>
        <sz val="10"/>
        <color rgb="FF333333"/>
        <rFont val="Arial"/>
        <family val="0"/>
        <charset val="1"/>
      </rPr>
      <t xml:space="preserve">SECTION 3</t>
    </r>
    <r>
      <rPr>
        <sz val="10"/>
        <color rgb="FF333333"/>
        <rFont val="Noto Sans CJK SC"/>
        <family val="2"/>
      </rPr>
      <t xml:space="preserve">：対策方式をドロップダウン（✅採用</t>
    </r>
    <r>
      <rPr>
        <sz val="10"/>
        <color rgb="FF333333"/>
        <rFont val="Arial"/>
        <family val="0"/>
        <charset val="1"/>
      </rPr>
      <t xml:space="preserve">/⬜</t>
    </r>
    <r>
      <rPr>
        <sz val="10"/>
        <color rgb="FF333333"/>
        <rFont val="Noto Sans CJK SC"/>
        <family val="2"/>
      </rPr>
      <t xml:space="preserve">未検討</t>
    </r>
    <r>
      <rPr>
        <sz val="10"/>
        <color rgb="FF333333"/>
        <rFont val="Arial"/>
        <family val="0"/>
        <charset val="1"/>
      </rPr>
      <t xml:space="preserve">/❌</t>
    </r>
    <r>
      <rPr>
        <sz val="10"/>
        <color rgb="FF333333"/>
        <rFont val="Noto Sans CJK SC"/>
        <family val="2"/>
      </rPr>
      <t xml:space="preserve">不採用）で管理。
</t>
    </r>
    <r>
      <rPr>
        <sz val="10"/>
        <color rgb="FF333333"/>
        <rFont val="Arial"/>
        <family val="0"/>
        <charset val="1"/>
      </rPr>
      <t xml:space="preserve">SECTION 4</t>
    </r>
    <r>
      <rPr>
        <sz val="10"/>
        <color rgb="FF333333"/>
        <rFont val="Noto Sans CJK SC"/>
        <family val="2"/>
      </rPr>
      <t xml:space="preserve">：定期計測記録表。日付・計測者・実測値を都度記録してください。</t>
    </r>
  </si>
  <si>
    <t xml:space="preserve">カスタマイズ方法</t>
  </si>
  <si>
    <r>
      <rPr>
        <sz val="10"/>
        <color rgb="FF333333"/>
        <rFont val="Noto Sans CJK SC"/>
        <family val="2"/>
      </rPr>
      <t xml:space="preserve">・チェックリスト項目の追加：該当行をコピーして下に追記してください。
・ドロップダウンの追加：「データ」→「データの入力規則」から設定できます。
・色の変更：セルを選択→「ホーム」→「塗りつぶしの色」から変更できます。
・実際のカム輪郭・機構解析は</t>
    </r>
    <r>
      <rPr>
        <sz val="10"/>
        <color rgb="FF333333"/>
        <rFont val="Arial"/>
        <family val="0"/>
        <charset val="1"/>
      </rPr>
      <t xml:space="preserve">SolidWorks / Fusion 360</t>
    </r>
    <r>
      <rPr>
        <sz val="10"/>
        <color rgb="FF333333"/>
        <rFont val="Noto Sans CJK SC"/>
        <family val="2"/>
      </rPr>
      <t xml:space="preserve">で必ず確認してください。</t>
    </r>
  </si>
  <si>
    <t xml:space="preserve">ご利用規約・免責</t>
  </si>
  <si>
    <r>
      <rPr>
        <sz val="10"/>
        <color rgb="FF333333"/>
        <rFont val="Noto Sans CJK SC"/>
        <family val="2"/>
      </rPr>
      <t xml:space="preserve">・個人・業務利用</t>
    </r>
    <r>
      <rPr>
        <sz val="10"/>
        <color rgb="FF333333"/>
        <rFont val="Arial"/>
        <family val="0"/>
        <charset val="1"/>
      </rPr>
      <t xml:space="preserve">OK</t>
    </r>
    <r>
      <rPr>
        <sz val="10"/>
        <color rgb="FF333333"/>
        <rFont val="Noto Sans CJK SC"/>
        <family val="2"/>
      </rPr>
      <t xml:space="preserve">（無断再配布・販売は禁止）。
・計算値はすべて概算・近似式に基づきます。実設計では必ず専門文献・メーカーデータを確認ください。
・本シート使用による損害について、</t>
    </r>
    <r>
      <rPr>
        <sz val="10"/>
        <color rgb="FF333333"/>
        <rFont val="Arial"/>
        <family val="0"/>
        <charset val="1"/>
      </rPr>
      <t xml:space="preserve">CADHACK</t>
    </r>
    <r>
      <rPr>
        <sz val="10"/>
        <color rgb="FF333333"/>
        <rFont val="Noto Sans CJK SC"/>
        <family val="2"/>
      </rPr>
      <t xml:space="preserve">は責任を負いません。
・</t>
    </r>
    <r>
      <rPr>
        <sz val="10"/>
        <color rgb="FF333333"/>
        <rFont val="Arial"/>
        <family val="0"/>
        <charset val="1"/>
      </rPr>
      <t xml:space="preserve">CADHACK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https://cadhack.jp  </t>
    </r>
    <r>
      <rPr>
        <sz val="10"/>
        <color rgb="FF333333"/>
        <rFont val="Noto Sans CJK SC"/>
        <family val="2"/>
      </rPr>
      <t xml:space="preserve">ご意見・改善要望はサイトのコメント欄へ。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</si>
</sst>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.00"/>
    <numFmt numFmtId="167" formatCode="0.0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i val="true"/>
      <sz val="9"/>
      <color rgb="FF666666"/>
      <name val="Arial"/>
      <family val="0"/>
      <charset val="1"/>
    </font>
    <font>
      <i val="true"/>
      <sz val="9"/>
      <color rgb="FF666666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Noto Sans CJK SC"/>
      <family val="2"/>
    </font>
    <font>
      <b val="true"/>
      <sz val="9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333333"/>
      <name val="Noto Sans CJK SC"/>
      <family val="2"/>
    </font>
    <font>
      <b val="true"/>
      <sz val="10"/>
      <color rgb="FF1A3A5C"/>
      <name val="Noto Sans CJK SC"/>
      <family val="2"/>
    </font>
    <font>
      <sz val="10"/>
      <color rgb="FF555555"/>
      <name val="Noto Sans CJK SC"/>
      <family val="2"/>
    </font>
    <font>
      <sz val="10"/>
      <color rgb="FF555555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b val="true"/>
      <sz val="11"/>
      <color rgb="FF0000CC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333333"/>
      <name val="Noto Sans CJK SC"/>
      <family val="2"/>
    </font>
    <font>
      <b val="true"/>
      <sz val="10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name val="Noto Sans CJK SC"/>
      <family val="2"/>
    </font>
    <font>
      <b val="true"/>
      <sz val="11"/>
      <color rgb="FF1A3A5C"/>
      <name val="Arial"/>
      <family val="0"/>
      <charset val="1"/>
    </font>
    <font>
      <sz val="10"/>
      <color rgb="FF777777"/>
      <name val="Noto Sans CJK SC"/>
      <family val="2"/>
    </font>
    <font>
      <sz val="10"/>
      <color rgb="FF777777"/>
      <name val="Arial"/>
      <family val="0"/>
      <charset val="1"/>
    </font>
    <font>
      <b val="true"/>
      <sz val="11"/>
      <color rgb="FF555555"/>
      <name val="Arial"/>
      <family val="0"/>
      <charset val="1"/>
    </font>
    <font>
      <b val="true"/>
      <sz val="10"/>
      <color rgb="FFC62828"/>
      <name val="Noto Sans CJK SC"/>
      <family val="2"/>
    </font>
    <font>
      <b val="true"/>
      <sz val="10"/>
      <color rgb="FFC62828"/>
      <name val="Arial"/>
      <family val="0"/>
      <charset val="1"/>
    </font>
    <font>
      <b val="true"/>
      <sz val="9"/>
      <color rgb="FFC62828"/>
      <name val="Noto Sans CJK SC"/>
      <family val="2"/>
    </font>
    <font>
      <sz val="10"/>
      <name val="Arial"/>
      <family val="0"/>
      <charset val="1"/>
    </font>
    <font>
      <b val="true"/>
      <sz val="10"/>
      <color rgb="FF1B7E3C"/>
      <name val="Noto Sans CJK SC"/>
      <family val="2"/>
    </font>
    <font>
      <sz val="10"/>
      <color rgb="FF888888"/>
      <name val="Noto Sans CJK SC"/>
      <family val="2"/>
    </font>
    <font>
      <b val="true"/>
      <sz val="13"/>
      <color rgb="FFFFFFFF"/>
      <name val="Noto Sans CJK SC"/>
      <family val="2"/>
    </font>
    <font>
      <b val="true"/>
      <sz val="13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2D6A9F"/>
        <bgColor rgb="FF3A5F8A"/>
      </patternFill>
    </fill>
    <fill>
      <patternFill patternType="solid">
        <fgColor rgb="FF3A5F8A"/>
        <bgColor rgb="FF2D6A9F"/>
      </patternFill>
    </fill>
    <fill>
      <patternFill patternType="solid">
        <fgColor rgb="FFE8F4FD"/>
        <bgColor rgb="FFF2F2F2"/>
      </patternFill>
    </fill>
    <fill>
      <patternFill patternType="solid">
        <fgColor rgb="FFFFFFFF"/>
        <bgColor rgb="FFFFF8E1"/>
      </patternFill>
    </fill>
    <fill>
      <patternFill patternType="solid">
        <fgColor rgb="FFFFF8E1"/>
        <bgColor rgb="FFF2F2F2"/>
      </patternFill>
    </fill>
    <fill>
      <patternFill patternType="solid">
        <fgColor rgb="FFFFE0D0"/>
        <bgColor rgb="FFFFE0E0"/>
      </patternFill>
    </fill>
    <fill>
      <patternFill patternType="solid">
        <fgColor rgb="FFFFE0E0"/>
        <bgColor rgb="FFFFE0D0"/>
      </patternFill>
    </fill>
    <fill>
      <patternFill patternType="solid">
        <fgColor rgb="FFF2F2F2"/>
        <bgColor rgb="FFE8F4FD"/>
      </patternFill>
    </fill>
    <fill>
      <patternFill patternType="solid">
        <fgColor rgb="FFFDFD80"/>
        <bgColor rgb="FFFFF8E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9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9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B7E3C"/>
      <rgbColor rgb="FF000080"/>
      <rgbColor rgb="FF808000"/>
      <rgbColor rgb="FF800080"/>
      <rgbColor rgb="FF008080"/>
      <rgbColor rgb="FFB0C4DE"/>
      <rgbColor rgb="FF888888"/>
      <rgbColor rgb="FF9999FF"/>
      <rgbColor rgb="FF993366"/>
      <rgbColor rgb="FFFFF8E1"/>
      <rgbColor rgb="FFE8F4FD"/>
      <rgbColor rgb="FF660066"/>
      <rgbColor rgb="FFFF8080"/>
      <rgbColor rgb="FF2D6A9F"/>
      <rgbColor rgb="FFFF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FD80"/>
      <rgbColor rgb="FF99CCFF"/>
      <rgbColor rgb="FFFF99CC"/>
      <rgbColor rgb="FFCC99FF"/>
      <rgbColor rgb="FFFFE0D0"/>
      <rgbColor rgb="FF3366FF"/>
      <rgbColor rgb="FF33CCCC"/>
      <rgbColor rgb="FF99CC00"/>
      <rgbColor rgb="FFFFCC00"/>
      <rgbColor rgb="FFFF9900"/>
      <rgbColor rgb="FFFF6600"/>
      <rgbColor rgb="FF666666"/>
      <rgbColor rgb="FF777777"/>
      <rgbColor rgb="FF1A3A5C"/>
      <rgbColor rgb="FF339966"/>
      <rgbColor rgb="FF003300"/>
      <rgbColor rgb="FF555555"/>
      <rgbColor rgb="FFC62828"/>
      <rgbColor rgb="FF993366"/>
      <rgbColor rgb="FF3A5F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6" min="4" style="0" width="14"/>
    <col collapsed="false" customWidth="true" hidden="false" outlineLevel="0" max="7" min="7" style="0" width="10"/>
    <col collapsed="false" customWidth="true" hidden="false" outlineLevel="0" max="8" min="8" style="0" width="20"/>
    <col collapsed="false" customWidth="true" hidden="false" outlineLevel="0" max="10" min="9" style="0" width="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7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21.75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customFormat="false" ht="21.75" hidden="false" customHeight="true" outlineLevel="0" collapsed="false">
      <c r="B6" s="5" t="s">
        <v>10</v>
      </c>
      <c r="C6" s="6" t="s">
        <v>11</v>
      </c>
      <c r="D6" s="7" t="n">
        <f aca="false">COS(RADIANS(7.5))</f>
        <v>0.99144486137381</v>
      </c>
      <c r="E6" s="6" t="s">
        <v>12</v>
      </c>
      <c r="F6" s="6" t="s">
        <v>13</v>
      </c>
      <c r="G6" s="6" t="s">
        <v>14</v>
      </c>
      <c r="H6" s="8" t="s">
        <v>15</v>
      </c>
    </row>
    <row r="7" customFormat="false" ht="21.75" hidden="false" customHeight="true" outlineLevel="0" collapsed="false">
      <c r="B7" s="9" t="s">
        <v>16</v>
      </c>
      <c r="C7" s="10" t="s">
        <v>17</v>
      </c>
      <c r="D7" s="11" t="n">
        <f aca="false">COS(RADIANS(22.5))</f>
        <v>0.923879532511287</v>
      </c>
      <c r="E7" s="10" t="s">
        <v>18</v>
      </c>
      <c r="F7" s="10" t="s">
        <v>19</v>
      </c>
      <c r="G7" s="10" t="s">
        <v>20</v>
      </c>
      <c r="H7" s="12" t="s">
        <v>21</v>
      </c>
    </row>
    <row r="8" customFormat="false" ht="21.75" hidden="false" customHeight="true" outlineLevel="0" collapsed="false">
      <c r="B8" s="13" t="s">
        <v>22</v>
      </c>
      <c r="C8" s="14" t="s">
        <v>23</v>
      </c>
      <c r="D8" s="15" t="n">
        <f aca="false">COS(RADIANS(37.5))</f>
        <v>0.793353340291235</v>
      </c>
      <c r="E8" s="14" t="s">
        <v>24</v>
      </c>
      <c r="F8" s="14" t="s">
        <v>25</v>
      </c>
      <c r="G8" s="14" t="s">
        <v>26</v>
      </c>
      <c r="H8" s="16" t="s">
        <v>27</v>
      </c>
    </row>
    <row r="9" customFormat="false" ht="21.75" hidden="false" customHeight="true" outlineLevel="0" collapsed="false">
      <c r="B9" s="17" t="s">
        <v>28</v>
      </c>
      <c r="C9" s="18" t="s">
        <v>29</v>
      </c>
      <c r="D9" s="19" t="n">
        <f aca="false">COS(RADIANS(52.5))</f>
        <v>0.608761429008721</v>
      </c>
      <c r="E9" s="18" t="s">
        <v>30</v>
      </c>
      <c r="F9" s="18" t="s">
        <v>31</v>
      </c>
      <c r="G9" s="18" t="s">
        <v>32</v>
      </c>
      <c r="H9" s="20" t="s">
        <v>33</v>
      </c>
    </row>
    <row r="10" customFormat="false" ht="21.75" hidden="false" customHeight="true" outlineLevel="0" collapsed="false">
      <c r="B10" s="21" t="s">
        <v>34</v>
      </c>
      <c r="C10" s="22" t="s">
        <v>35</v>
      </c>
      <c r="D10" s="23" t="n">
        <f aca="false">COS(RADIANS(65))</f>
        <v>0.422618261740699</v>
      </c>
      <c r="E10" s="22" t="s">
        <v>36</v>
      </c>
      <c r="F10" s="22" t="s">
        <v>37</v>
      </c>
      <c r="G10" s="22" t="s">
        <v>38</v>
      </c>
      <c r="H10" s="24" t="s">
        <v>39</v>
      </c>
    </row>
    <row r="12" customFormat="false" ht="27.75" hidden="false" customHeight="true" outlineLevel="0" collapsed="false">
      <c r="A12" s="3" t="s">
        <v>40</v>
      </c>
      <c r="B12" s="3"/>
      <c r="C12" s="3"/>
      <c r="D12" s="3"/>
      <c r="E12" s="3"/>
      <c r="F12" s="3"/>
      <c r="G12" s="3"/>
      <c r="H12" s="3"/>
      <c r="I12" s="3"/>
      <c r="J12" s="3"/>
    </row>
    <row r="13" customFormat="false" ht="21.75" hidden="false" customHeight="true" outlineLevel="0" collapsed="false">
      <c r="B13" s="4" t="s">
        <v>41</v>
      </c>
      <c r="C13" s="4" t="s">
        <v>42</v>
      </c>
      <c r="D13" s="4" t="s">
        <v>43</v>
      </c>
      <c r="E13" s="4" t="s">
        <v>44</v>
      </c>
      <c r="F13" s="4" t="s">
        <v>45</v>
      </c>
      <c r="G13" s="4" t="s">
        <v>46</v>
      </c>
    </row>
    <row r="14" customFormat="false" ht="21.75" hidden="false" customHeight="true" outlineLevel="0" collapsed="false">
      <c r="B14" s="25" t="s">
        <v>47</v>
      </c>
      <c r="C14" s="26" t="s">
        <v>48</v>
      </c>
      <c r="D14" s="27" t="s">
        <v>49</v>
      </c>
      <c r="E14" s="28"/>
      <c r="F14" s="26"/>
      <c r="G14" s="26"/>
    </row>
    <row r="15" customFormat="false" ht="21.75" hidden="false" customHeight="true" outlineLevel="0" collapsed="false">
      <c r="B15" s="29" t="s">
        <v>47</v>
      </c>
      <c r="C15" s="12" t="s">
        <v>50</v>
      </c>
      <c r="D15" s="30" t="s">
        <v>51</v>
      </c>
      <c r="E15" s="31"/>
      <c r="F15" s="12"/>
      <c r="G15" s="12"/>
    </row>
    <row r="16" customFormat="false" ht="21.75" hidden="false" customHeight="true" outlineLevel="0" collapsed="false">
      <c r="B16" s="25" t="s">
        <v>47</v>
      </c>
      <c r="C16" s="26" t="s">
        <v>52</v>
      </c>
      <c r="D16" s="27" t="s">
        <v>53</v>
      </c>
      <c r="E16" s="28"/>
      <c r="F16" s="26"/>
      <c r="G16" s="26"/>
    </row>
    <row r="17" customFormat="false" ht="21.75" hidden="false" customHeight="true" outlineLevel="0" collapsed="false">
      <c r="B17" s="29" t="s">
        <v>54</v>
      </c>
      <c r="C17" s="12" t="s">
        <v>55</v>
      </c>
      <c r="D17" s="30" t="s">
        <v>56</v>
      </c>
      <c r="E17" s="31"/>
      <c r="F17" s="12"/>
      <c r="G17" s="12"/>
    </row>
    <row r="18" customFormat="false" ht="21.75" hidden="false" customHeight="true" outlineLevel="0" collapsed="false">
      <c r="B18" s="25" t="s">
        <v>54</v>
      </c>
      <c r="C18" s="26" t="s">
        <v>57</v>
      </c>
      <c r="D18" s="27" t="s">
        <v>58</v>
      </c>
      <c r="E18" s="28"/>
      <c r="F18" s="26"/>
      <c r="G18" s="26"/>
    </row>
    <row r="19" customFormat="false" ht="21.75" hidden="false" customHeight="true" outlineLevel="0" collapsed="false">
      <c r="B19" s="29" t="s">
        <v>54</v>
      </c>
      <c r="C19" s="12" t="s">
        <v>59</v>
      </c>
      <c r="D19" s="30" t="s">
        <v>60</v>
      </c>
      <c r="E19" s="31"/>
      <c r="F19" s="12"/>
      <c r="G19" s="12"/>
    </row>
    <row r="20" customFormat="false" ht="21.75" hidden="false" customHeight="true" outlineLevel="0" collapsed="false">
      <c r="B20" s="25" t="s">
        <v>61</v>
      </c>
      <c r="C20" s="26" t="s">
        <v>62</v>
      </c>
      <c r="D20" s="32" t="s">
        <v>63</v>
      </c>
      <c r="E20" s="28"/>
      <c r="F20" s="26"/>
      <c r="G20" s="26"/>
    </row>
    <row r="21" customFormat="false" ht="21.75" hidden="false" customHeight="true" outlineLevel="0" collapsed="false">
      <c r="B21" s="29" t="s">
        <v>61</v>
      </c>
      <c r="C21" s="12" t="s">
        <v>64</v>
      </c>
      <c r="D21" s="30" t="s">
        <v>65</v>
      </c>
      <c r="E21" s="31"/>
      <c r="F21" s="12"/>
      <c r="G21" s="12"/>
    </row>
    <row r="22" customFormat="false" ht="21.75" hidden="false" customHeight="true" outlineLevel="0" collapsed="false">
      <c r="B22" s="25" t="s">
        <v>66</v>
      </c>
      <c r="C22" s="26" t="s">
        <v>67</v>
      </c>
      <c r="D22" s="32" t="s">
        <v>68</v>
      </c>
      <c r="E22" s="28"/>
      <c r="F22" s="26"/>
      <c r="G22" s="26"/>
    </row>
    <row r="23" customFormat="false" ht="21.75" hidden="false" customHeight="true" outlineLevel="0" collapsed="false">
      <c r="B23" s="29" t="s">
        <v>66</v>
      </c>
      <c r="C23" s="12" t="s">
        <v>69</v>
      </c>
      <c r="D23" s="30" t="s">
        <v>70</v>
      </c>
      <c r="E23" s="31"/>
      <c r="F23" s="12"/>
      <c r="G23" s="12"/>
    </row>
    <row r="24" customFormat="false" ht="21.75" hidden="false" customHeight="true" outlineLevel="0" collapsed="false">
      <c r="B24" s="25" t="s">
        <v>71</v>
      </c>
      <c r="C24" s="26" t="s">
        <v>72</v>
      </c>
      <c r="D24" s="27" t="s">
        <v>73</v>
      </c>
      <c r="E24" s="28"/>
      <c r="F24" s="26"/>
      <c r="G24" s="26"/>
    </row>
    <row r="25" customFormat="false" ht="21.75" hidden="false" customHeight="true" outlineLevel="0" collapsed="false">
      <c r="B25" s="29" t="s">
        <v>71</v>
      </c>
      <c r="C25" s="12" t="s">
        <v>74</v>
      </c>
      <c r="D25" s="30" t="s">
        <v>75</v>
      </c>
      <c r="E25" s="31"/>
      <c r="F25" s="12"/>
      <c r="G25" s="12"/>
    </row>
    <row r="27" customFormat="false" ht="27.75" hidden="false" customHeight="true" outlineLevel="0" collapsed="false">
      <c r="A27" s="3" t="s">
        <v>76</v>
      </c>
      <c r="B27" s="3"/>
      <c r="C27" s="3"/>
      <c r="D27" s="3"/>
      <c r="E27" s="3"/>
      <c r="F27" s="3"/>
      <c r="G27" s="3"/>
      <c r="H27" s="3"/>
      <c r="I27" s="3"/>
      <c r="J27" s="3"/>
    </row>
    <row r="28" customFormat="false" ht="24" hidden="false" customHeight="true" outlineLevel="0" collapsed="false">
      <c r="B28" s="33" t="s">
        <v>77</v>
      </c>
      <c r="C28" s="33"/>
      <c r="D28" s="33"/>
      <c r="E28" s="33"/>
      <c r="F28" s="34" t="n">
        <v>50</v>
      </c>
      <c r="G28" s="35" t="s">
        <v>78</v>
      </c>
    </row>
    <row r="29" customFormat="false" ht="24" hidden="false" customHeight="true" outlineLevel="0" collapsed="false">
      <c r="B29" s="33" t="s">
        <v>79</v>
      </c>
      <c r="C29" s="33"/>
      <c r="D29" s="33"/>
      <c r="E29" s="33"/>
      <c r="F29" s="34" t="n">
        <v>20</v>
      </c>
      <c r="G29" s="35" t="s">
        <v>78</v>
      </c>
    </row>
    <row r="30" customFormat="false" ht="24" hidden="false" customHeight="true" outlineLevel="0" collapsed="false">
      <c r="B30" s="33" t="s">
        <v>80</v>
      </c>
      <c r="C30" s="33"/>
      <c r="D30" s="33"/>
      <c r="E30" s="33"/>
      <c r="F30" s="34" t="n">
        <v>120</v>
      </c>
      <c r="G30" s="35" t="s">
        <v>81</v>
      </c>
    </row>
    <row r="31" customFormat="false" ht="24" hidden="false" customHeight="true" outlineLevel="0" collapsed="false">
      <c r="B31" s="33" t="s">
        <v>82</v>
      </c>
      <c r="C31" s="33"/>
      <c r="D31" s="33"/>
      <c r="E31" s="33"/>
      <c r="F31" s="34" t="n">
        <v>0</v>
      </c>
      <c r="G31" s="35" t="s">
        <v>78</v>
      </c>
    </row>
    <row r="33" customFormat="false" ht="24" hidden="false" customHeight="true" outlineLevel="0" collapsed="false">
      <c r="B33" s="36" t="s">
        <v>83</v>
      </c>
      <c r="C33" s="36" t="s">
        <v>84</v>
      </c>
      <c r="D33" s="36"/>
      <c r="E33" s="36"/>
      <c r="F33" s="36" t="s">
        <v>85</v>
      </c>
      <c r="G33" s="36" t="s">
        <v>86</v>
      </c>
    </row>
    <row r="34" customFormat="false" ht="24" hidden="false" customHeight="true" outlineLevel="0" collapsed="false">
      <c r="B34" s="37" t="s">
        <v>87</v>
      </c>
      <c r="C34" s="38" t="n">
        <f aca="false">F29/(F30*PI()/180)</f>
        <v>9.54929658551372</v>
      </c>
      <c r="D34" s="38"/>
      <c r="E34" s="38"/>
      <c r="F34" s="39" t="s">
        <v>88</v>
      </c>
      <c r="G34" s="40" t="str">
        <f aca="false">IF(F34&lt;30,"✅ 良好",IF(F34&lt;45,"⚠️ 注意","🔴 危険"))</f>
        <v>🔴 危険</v>
      </c>
    </row>
    <row r="35" customFormat="false" ht="24" hidden="false" customHeight="true" outlineLevel="0" collapsed="false">
      <c r="B35" s="41" t="s">
        <v>89</v>
      </c>
      <c r="C35" s="38" t="n">
        <f aca="false">DEGREES(ATAN((F29/(F30*PI()/180))/(F28+F29/2)))</f>
        <v>9.04306107903769</v>
      </c>
      <c r="D35" s="38"/>
      <c r="E35" s="38"/>
      <c r="F35" s="42" t="s">
        <v>81</v>
      </c>
      <c r="G35" s="43" t="str">
        <f aca="false">IF(F35&lt;=30,"✅ 30°以内 OK",IF(F35&lt;=45,"⚠️ 要検討","🔴 再設計"))</f>
        <v>🔴 再設計</v>
      </c>
    </row>
    <row r="36" customFormat="false" ht="24" hidden="false" customHeight="true" outlineLevel="0" collapsed="false">
      <c r="B36" s="37" t="s">
        <v>90</v>
      </c>
      <c r="C36" s="38" t="n">
        <f aca="false">(F29/TAN(RADIANS(30)))-F29/2</f>
        <v>24.6410161513776</v>
      </c>
      <c r="D36" s="38"/>
      <c r="E36" s="38"/>
      <c r="F36" s="39" t="s">
        <v>78</v>
      </c>
      <c r="G36" s="40" t="str">
        <f aca="false">IF(F28&gt;=F36,"✅ OK","🔴 r₀を大きく")</f>
        <v>🔴 r₀を大きく</v>
      </c>
    </row>
    <row r="38" customFormat="false" ht="30" hidden="false" customHeight="true" outlineLevel="0" collapsed="false">
      <c r="A38" s="44" t="s">
        <v>91</v>
      </c>
      <c r="B38" s="44"/>
      <c r="C38" s="44"/>
      <c r="D38" s="44"/>
      <c r="E38" s="44"/>
      <c r="F38" s="44"/>
      <c r="G38" s="44"/>
      <c r="H38" s="44"/>
      <c r="I38" s="44"/>
      <c r="J38" s="44"/>
    </row>
  </sheetData>
  <mergeCells count="14">
    <mergeCell ref="A1:J1"/>
    <mergeCell ref="A2:J2"/>
    <mergeCell ref="A4:J4"/>
    <mergeCell ref="A12:J12"/>
    <mergeCell ref="A27:J27"/>
    <mergeCell ref="B28:E28"/>
    <mergeCell ref="B29:E29"/>
    <mergeCell ref="B30:E30"/>
    <mergeCell ref="B31:E31"/>
    <mergeCell ref="C33:E33"/>
    <mergeCell ref="C34:E34"/>
    <mergeCell ref="C35:E35"/>
    <mergeCell ref="C36:E36"/>
    <mergeCell ref="A38:J38"/>
  </mergeCells>
  <dataValidations count="1">
    <dataValidation allowBlank="false" errorStyle="stop" operator="between" showDropDown="false" showErrorMessage="false" showInputMessage="false" sqref="E14:E25" type="list">
      <formula1>"✅ OK,⚠️ 要確認,🔴 NG,—"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8" min="7" style="0" width="14"/>
    <col collapsed="false" customWidth="true" hidden="false" outlineLevel="0" max="11" min="9" style="0" width="4"/>
  </cols>
  <sheetData>
    <row r="1" customFormat="false" ht="37.5" hidden="false" customHeight="true" outlineLevel="0" collapsed="false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7.75" hidden="false" customHeight="true" outlineLevel="0" collapsed="false">
      <c r="A4" s="3" t="s">
        <v>93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24" hidden="false" customHeight="true" outlineLevel="0" collapsed="false">
      <c r="B5" s="33" t="s">
        <v>94</v>
      </c>
      <c r="C5" s="33"/>
      <c r="D5" s="33"/>
      <c r="E5" s="33"/>
      <c r="F5" s="33"/>
      <c r="G5" s="45" t="n">
        <v>50</v>
      </c>
      <c r="H5" s="35" t="s">
        <v>78</v>
      </c>
    </row>
    <row r="6" customFormat="false" ht="24" hidden="false" customHeight="true" outlineLevel="0" collapsed="false">
      <c r="B6" s="33" t="s">
        <v>95</v>
      </c>
      <c r="C6" s="33"/>
      <c r="D6" s="33"/>
      <c r="E6" s="33"/>
      <c r="F6" s="33"/>
      <c r="G6" s="45" t="n">
        <v>150</v>
      </c>
      <c r="H6" s="35" t="s">
        <v>78</v>
      </c>
    </row>
    <row r="7" customFormat="false" ht="24" hidden="false" customHeight="true" outlineLevel="0" collapsed="false">
      <c r="B7" s="33" t="s">
        <v>96</v>
      </c>
      <c r="C7" s="33"/>
      <c r="D7" s="33"/>
      <c r="E7" s="33"/>
      <c r="F7" s="33"/>
      <c r="G7" s="45" t="n">
        <v>60</v>
      </c>
      <c r="H7" s="35" t="s">
        <v>97</v>
      </c>
    </row>
    <row r="8" customFormat="false" ht="24" hidden="false" customHeight="true" outlineLevel="0" collapsed="false">
      <c r="B8" s="33" t="s">
        <v>98</v>
      </c>
      <c r="C8" s="33"/>
      <c r="D8" s="33"/>
      <c r="E8" s="33"/>
      <c r="F8" s="33"/>
      <c r="G8" s="45" t="n">
        <v>2</v>
      </c>
      <c r="H8" s="35" t="s">
        <v>99</v>
      </c>
    </row>
    <row r="9" customFormat="false" ht="24" hidden="false" customHeight="true" outlineLevel="0" collapsed="false">
      <c r="B9" s="33" t="s">
        <v>100</v>
      </c>
      <c r="C9" s="33"/>
      <c r="D9" s="33"/>
      <c r="E9" s="33"/>
      <c r="F9" s="33"/>
      <c r="G9" s="45" t="n">
        <v>0.1</v>
      </c>
      <c r="H9" s="35" t="s">
        <v>101</v>
      </c>
    </row>
    <row r="11" customFormat="false" ht="27.75" hidden="false" customHeight="true" outlineLevel="0" collapsed="false">
      <c r="A11" s="3" t="s">
        <v>102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false" ht="21.75" hidden="false" customHeight="true" outlineLevel="0" collapsed="false">
      <c r="B12" s="4" t="s">
        <v>83</v>
      </c>
      <c r="C12" s="4" t="s">
        <v>84</v>
      </c>
      <c r="D12" s="4"/>
      <c r="E12" s="4"/>
      <c r="F12" s="4"/>
      <c r="G12" s="4"/>
      <c r="H12" s="4" t="s">
        <v>85</v>
      </c>
      <c r="I12" s="4" t="s">
        <v>46</v>
      </c>
    </row>
    <row r="13" customFormat="false" ht="21.75" hidden="false" customHeight="true" outlineLevel="0" collapsed="false">
      <c r="B13" s="37" t="s">
        <v>103</v>
      </c>
      <c r="C13" s="46" t="n">
        <f aca="false">2*G5</f>
        <v>100</v>
      </c>
      <c r="D13" s="46"/>
      <c r="E13" s="46"/>
      <c r="F13" s="46"/>
      <c r="G13" s="46"/>
      <c r="H13" s="39" t="s">
        <v>78</v>
      </c>
      <c r="I13" s="47" t="s">
        <v>104</v>
      </c>
    </row>
    <row r="14" customFormat="false" ht="21.75" hidden="false" customHeight="true" outlineLevel="0" collapsed="false">
      <c r="B14" s="41" t="s">
        <v>105</v>
      </c>
      <c r="C14" s="46" t="n">
        <f aca="false">G5/G6</f>
        <v>0.333333333333333</v>
      </c>
      <c r="D14" s="46"/>
      <c r="E14" s="46"/>
      <c r="F14" s="46"/>
      <c r="G14" s="46"/>
      <c r="H14" s="42" t="s">
        <v>101</v>
      </c>
      <c r="I14" s="48" t="s">
        <v>106</v>
      </c>
    </row>
    <row r="15" customFormat="false" ht="21.75" hidden="false" customHeight="true" outlineLevel="0" collapsed="false">
      <c r="B15" s="8" t="s">
        <v>107</v>
      </c>
      <c r="C15" s="46" t="n">
        <f aca="false">G7*2*PI()/60</f>
        <v>6.28318530717959</v>
      </c>
      <c r="D15" s="46"/>
      <c r="E15" s="46"/>
      <c r="F15" s="46"/>
      <c r="G15" s="46"/>
      <c r="H15" s="39" t="s">
        <v>108</v>
      </c>
      <c r="I15" s="47"/>
    </row>
    <row r="16" customFormat="false" ht="21.75" hidden="false" customHeight="true" outlineLevel="0" collapsed="false">
      <c r="B16" s="12" t="s">
        <v>109</v>
      </c>
      <c r="C16" s="46" t="n">
        <f aca="false">G5*G14*(1+G13/2)</f>
        <v>0</v>
      </c>
      <c r="D16" s="46"/>
      <c r="E16" s="46"/>
      <c r="F16" s="46"/>
      <c r="G16" s="46"/>
      <c r="H16" s="42" t="s">
        <v>110</v>
      </c>
      <c r="I16" s="49" t="s">
        <v>111</v>
      </c>
    </row>
    <row r="17" customFormat="false" ht="21.75" hidden="false" customHeight="true" outlineLevel="0" collapsed="false">
      <c r="B17" s="8" t="s">
        <v>112</v>
      </c>
      <c r="C17" s="50" t="n">
        <f aca="false">0</f>
        <v>0</v>
      </c>
      <c r="D17" s="50"/>
      <c r="E17" s="50"/>
      <c r="F17" s="50"/>
      <c r="G17" s="50"/>
      <c r="H17" s="39" t="s">
        <v>113</v>
      </c>
      <c r="I17" s="47" t="s">
        <v>114</v>
      </c>
    </row>
    <row r="18" customFormat="false" ht="21.75" hidden="false" customHeight="true" outlineLevel="0" collapsed="false">
      <c r="B18" s="12" t="s">
        <v>115</v>
      </c>
      <c r="C18" s="51" t="str">
        <f aca="false">IF(G16=0,"—",G6*G15^2/G16)</f>
        <v>—</v>
      </c>
      <c r="D18" s="51"/>
      <c r="E18" s="51"/>
      <c r="F18" s="51"/>
      <c r="G18" s="51"/>
      <c r="H18" s="42" t="s">
        <v>116</v>
      </c>
      <c r="I18" s="49" t="s">
        <v>117</v>
      </c>
    </row>
    <row r="20" customFormat="false" ht="27.75" hidden="false" customHeight="true" outlineLevel="0" collapsed="false">
      <c r="A20" s="3" t="s">
        <v>118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customFormat="false" ht="21.75" hidden="false" customHeight="true" outlineLevel="0" collapsed="false">
      <c r="B21" s="4" t="s">
        <v>119</v>
      </c>
      <c r="C21" s="4" t="s">
        <v>120</v>
      </c>
      <c r="D21" s="4" t="s">
        <v>121</v>
      </c>
      <c r="E21" s="4"/>
      <c r="F21" s="4"/>
      <c r="G21" s="4"/>
      <c r="H21" s="4" t="s">
        <v>122</v>
      </c>
    </row>
    <row r="22" customFormat="false" ht="27.75" hidden="false" customHeight="true" outlineLevel="0" collapsed="false">
      <c r="B22" s="52" t="s">
        <v>123</v>
      </c>
      <c r="C22" s="5" t="s">
        <v>124</v>
      </c>
      <c r="D22" s="53" t="s">
        <v>125</v>
      </c>
      <c r="E22" s="53"/>
      <c r="F22" s="53"/>
      <c r="G22" s="53"/>
      <c r="H22" s="54" t="s">
        <v>126</v>
      </c>
    </row>
    <row r="23" customFormat="false" ht="27.75" hidden="false" customHeight="true" outlineLevel="0" collapsed="false">
      <c r="B23" s="55" t="s">
        <v>127</v>
      </c>
      <c r="C23" s="9" t="s">
        <v>128</v>
      </c>
      <c r="D23" s="30" t="s">
        <v>129</v>
      </c>
      <c r="E23" s="30"/>
      <c r="F23" s="30"/>
      <c r="G23" s="30"/>
      <c r="H23" s="56" t="s">
        <v>126</v>
      </c>
    </row>
    <row r="25" customFormat="false" ht="27.75" hidden="false" customHeight="true" outlineLevel="0" collapsed="false">
      <c r="A25" s="3" t="s">
        <v>130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customFormat="false" ht="21.75" hidden="false" customHeight="true" outlineLevel="0" collapsed="false">
      <c r="B26" s="4" t="s">
        <v>131</v>
      </c>
      <c r="C26" s="4" t="s">
        <v>132</v>
      </c>
      <c r="D26" s="4" t="s">
        <v>133</v>
      </c>
      <c r="E26" s="4" t="s">
        <v>134</v>
      </c>
      <c r="F26" s="4" t="s">
        <v>135</v>
      </c>
      <c r="G26" s="4" t="s">
        <v>46</v>
      </c>
    </row>
    <row r="27" customFormat="false" ht="21.75" hidden="false" customHeight="true" outlineLevel="0" collapsed="false">
      <c r="B27" s="57" t="s">
        <v>136</v>
      </c>
      <c r="C27" s="26" t="s">
        <v>137</v>
      </c>
      <c r="D27" s="57" t="s">
        <v>138</v>
      </c>
      <c r="E27" s="57" t="s">
        <v>139</v>
      </c>
      <c r="F27" s="58"/>
      <c r="G27" s="59"/>
    </row>
    <row r="28" customFormat="false" ht="21.75" hidden="false" customHeight="true" outlineLevel="0" collapsed="false">
      <c r="B28" s="10" t="s">
        <v>140</v>
      </c>
      <c r="C28" s="12" t="s">
        <v>141</v>
      </c>
      <c r="D28" s="10" t="s">
        <v>30</v>
      </c>
      <c r="E28" s="10" t="s">
        <v>142</v>
      </c>
      <c r="F28" s="60"/>
      <c r="G28" s="59"/>
    </row>
    <row r="29" customFormat="false" ht="21.75" hidden="false" customHeight="true" outlineLevel="0" collapsed="false">
      <c r="B29" s="57" t="s">
        <v>143</v>
      </c>
      <c r="C29" s="26" t="s">
        <v>144</v>
      </c>
      <c r="D29" s="57" t="s">
        <v>145</v>
      </c>
      <c r="E29" s="57" t="s">
        <v>146</v>
      </c>
      <c r="F29" s="58"/>
      <c r="G29" s="59"/>
    </row>
    <row r="30" customFormat="false" ht="21.75" hidden="false" customHeight="true" outlineLevel="0" collapsed="false">
      <c r="B30" s="10" t="s">
        <v>147</v>
      </c>
      <c r="C30" s="12" t="s">
        <v>144</v>
      </c>
      <c r="D30" s="10" t="s">
        <v>145</v>
      </c>
      <c r="E30" s="10" t="s">
        <v>148</v>
      </c>
      <c r="F30" s="60"/>
      <c r="G30" s="59"/>
    </row>
    <row r="32" customFormat="false" ht="27.75" hidden="false" customHeight="true" outlineLevel="0" collapsed="false">
      <c r="A32" s="3" t="s">
        <v>149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customFormat="false" ht="21.75" hidden="false" customHeight="true" outlineLevel="0" collapsed="false">
      <c r="B33" s="4" t="s">
        <v>150</v>
      </c>
      <c r="C33" s="4" t="s">
        <v>151</v>
      </c>
      <c r="D33" s="4" t="s">
        <v>152</v>
      </c>
      <c r="E33" s="4" t="s">
        <v>153</v>
      </c>
      <c r="F33" s="4" t="s">
        <v>154</v>
      </c>
      <c r="G33" s="4" t="s">
        <v>46</v>
      </c>
    </row>
    <row r="34" customFormat="false" ht="18" hidden="false" customHeight="true" outlineLevel="0" collapsed="false">
      <c r="B34" s="61" t="n">
        <v>0</v>
      </c>
      <c r="C34" s="62" t="n">
        <f aca="false">G5*COS(RADIANS(0))+SQRT(MAX(0,G6^2-G5^2*SIN(RADIANS(0))^2))</f>
        <v>200</v>
      </c>
      <c r="D34" s="63" t="str">
        <f aca="false">IF(0=0,"",-G5*SIN(RADIANS(0))-G5^2*SIN(RADIANS(0))*COS(RADIANS(0))/SQRT(MAX(0.0001,G6^2-G5^2*SIN(RADIANS(0))^2)))</f>
        <v/>
      </c>
      <c r="E34" s="64"/>
      <c r="F34" s="65" t="str">
        <f aca="false">IF(G13=0,"",IFERROR((C34-MIN(C34:C70))/G13,""))</f>
        <v/>
      </c>
      <c r="G34" s="66" t="s">
        <v>155</v>
      </c>
    </row>
    <row r="35" customFormat="false" ht="18" hidden="false" customHeight="true" outlineLevel="0" collapsed="false">
      <c r="B35" s="67" t="n">
        <v>10</v>
      </c>
      <c r="C35" s="68" t="n">
        <f aca="false">G5*COS(RADIANS(10))+SQRT(MAX(0,G6^2-G5^2*SIN(RADIANS(10))^2))</f>
        <v>198.98889607718</v>
      </c>
      <c r="D35" s="69" t="n">
        <f aca="false">IF(10=0,"",-G5*SIN(RADIANS(10))-G5^2*SIN(RADIANS(10))*COS(RADIANS(10))/SQRT(MAX(0.0001,G6^2-G5^2*SIN(RADIANS(10))^2)))</f>
        <v>-11.5373633910686</v>
      </c>
      <c r="E35" s="70"/>
      <c r="F35" s="71" t="str">
        <f aca="false">IF(G13=0,"",IFERROR((C35-MIN(C34:C70))/G13,""))</f>
        <v/>
      </c>
      <c r="G35" s="70"/>
    </row>
    <row r="36" customFormat="false" ht="18" hidden="false" customHeight="true" outlineLevel="0" collapsed="false">
      <c r="B36" s="72" t="n">
        <v>20</v>
      </c>
      <c r="C36" s="73" t="n">
        <f aca="false">G5*COS(RADIANS(20))+SQRT(MAX(0,G6^2-G5^2*SIN(RADIANS(20))^2))</f>
        <v>196.006627918611</v>
      </c>
      <c r="D36" s="74" t="n">
        <f aca="false">IF(20=0,"",-G5*SIN(RADIANS(20))-G5^2*SIN(RADIANS(20))*COS(RADIANS(20))/SQRT(MAX(0.0001,G6^2-G5^2*SIN(RADIANS(20))^2)))</f>
        <v>-22.4927246907699</v>
      </c>
      <c r="E36" s="75"/>
      <c r="F36" s="76" t="str">
        <f aca="false">IF(G13=0,"",IFERROR((C36-MIN(C34:C70))/G13,""))</f>
        <v/>
      </c>
      <c r="G36" s="75"/>
    </row>
    <row r="37" customFormat="false" ht="18" hidden="false" customHeight="true" outlineLevel="0" collapsed="false">
      <c r="B37" s="67" t="n">
        <v>30</v>
      </c>
      <c r="C37" s="68" t="n">
        <f aca="false">G5*COS(RADIANS(30))+SQRT(MAX(0,G6^2-G5^2*SIN(RADIANS(30))^2))</f>
        <v>191.203264766712</v>
      </c>
      <c r="D37" s="69" t="n">
        <f aca="false">IF(30=0,"",-G5*SIN(RADIANS(30))-G5^2*SIN(RADIANS(30))*COS(RADIANS(30))/SQRT(MAX(0.0001,G6^2-G5^2*SIN(RADIANS(30))^2)))</f>
        <v>-32.319250547114</v>
      </c>
      <c r="E37" s="70"/>
      <c r="F37" s="71" t="str">
        <f aca="false">IF(G13=0,"",IFERROR((C37-MIN(C34:C70))/G13,""))</f>
        <v/>
      </c>
      <c r="G37" s="70"/>
    </row>
    <row r="38" customFormat="false" ht="18" hidden="false" customHeight="true" outlineLevel="0" collapsed="false">
      <c r="B38" s="72" t="n">
        <v>40</v>
      </c>
      <c r="C38" s="73" t="n">
        <f aca="false">G5*COS(RADIANS(40))+SQRT(MAX(0,G6^2-G5^2*SIN(RADIANS(40))^2))</f>
        <v>184.818638376397</v>
      </c>
      <c r="D38" s="74" t="n">
        <f aca="false">IF(40=0,"",-G5*SIN(RADIANS(40))-G5^2*SIN(RADIANS(40))*COS(RADIANS(40))/SQRT(MAX(0.0001,G6^2-G5^2*SIN(RADIANS(40))^2)))</f>
        <v>-40.5412355325223</v>
      </c>
      <c r="E38" s="75"/>
      <c r="F38" s="76" t="str">
        <f aca="false">IF(G13=0,"",IFERROR((C38-MIN(C34:C70))/G13,""))</f>
        <v/>
      </c>
      <c r="G38" s="75"/>
    </row>
    <row r="39" customFormat="false" ht="18" hidden="false" customHeight="true" outlineLevel="0" collapsed="false">
      <c r="B39" s="67" t="n">
        <v>50</v>
      </c>
      <c r="C39" s="68" t="n">
        <f aca="false">G5*COS(RADIANS(50))+SQRT(MAX(0,G6^2-G5^2*SIN(RADIANS(50))^2))</f>
        <v>177.166756444579</v>
      </c>
      <c r="D39" s="69" t="n">
        <f aca="false">IF(50=0,"",-G5*SIN(RADIANS(50))-G5^2*SIN(RADIANS(50))*COS(RADIANS(50))/SQRT(MAX(0.0001,G6^2-G5^2*SIN(RADIANS(50))^2)))</f>
        <v>-46.7903416100487</v>
      </c>
      <c r="E39" s="70"/>
      <c r="F39" s="71" t="str">
        <f aca="false">IF(G13=0,"",IFERROR((C39-MIN(C34:C70))/G13,""))</f>
        <v/>
      </c>
      <c r="G39" s="70"/>
    </row>
    <row r="40" customFormat="false" ht="18" hidden="false" customHeight="true" outlineLevel="0" collapsed="false">
      <c r="B40" s="72" t="n">
        <v>60</v>
      </c>
      <c r="C40" s="73" t="n">
        <f aca="false">G5*COS(RADIANS(60))+SQRT(MAX(0,G6^2-G5^2*SIN(RADIANS(60))^2))</f>
        <v>168.614066163451</v>
      </c>
      <c r="D40" s="74" t="n">
        <f aca="false">IF(60=0,"",-G5*SIN(RADIANS(60))-G5^2*SIN(RADIANS(60))*COS(RADIANS(60))/SQRT(MAX(0.0001,G6^2-G5^2*SIN(RADIANS(60))^2)))</f>
        <v>-50.839053803666</v>
      </c>
      <c r="E40" s="75"/>
      <c r="F40" s="76" t="str">
        <f aca="false">IF(G13=0,"",IFERROR((C40-MIN(C34:C70))/G13,""))</f>
        <v/>
      </c>
      <c r="G40" s="75"/>
    </row>
    <row r="41" customFormat="false" ht="18" hidden="false" customHeight="true" outlineLevel="0" collapsed="false">
      <c r="B41" s="67" t="n">
        <v>70</v>
      </c>
      <c r="C41" s="68" t="n">
        <f aca="false">G5*COS(RADIANS(70))+SQRT(MAX(0,G6^2-G5^2*SIN(RADIANS(70))^2))</f>
        <v>159.552558390204</v>
      </c>
      <c r="D41" s="69" t="n">
        <f aca="false">IF(70=0,"",-G5*SIN(RADIANS(70))-G5^2*SIN(RADIANS(70))*COS(RADIANS(70))/SQRT(MAX(0.0001,G6^2-G5^2*SIN(RADIANS(70))^2)))</f>
        <v>-52.6250365329862</v>
      </c>
      <c r="E41" s="70"/>
      <c r="F41" s="71" t="str">
        <f aca="false">IF(G13=0,"",IFERROR((C41-MIN(C34:C70))/G13,""))</f>
        <v/>
      </c>
      <c r="G41" s="70"/>
    </row>
    <row r="42" customFormat="false" ht="18" hidden="false" customHeight="true" outlineLevel="0" collapsed="false">
      <c r="B42" s="72" t="n">
        <v>80</v>
      </c>
      <c r="C42" s="73" t="n">
        <f aca="false">G5*COS(RADIANS(80))+SQRT(MAX(0,G6^2-G5^2*SIN(RADIANS(80))^2))</f>
        <v>150.37003792702</v>
      </c>
      <c r="D42" s="74" t="n">
        <f aca="false">IF(80=0,"",-G5*SIN(RADIANS(80))-G5^2*SIN(RADIANS(80))*COS(RADIANS(80))/SQRT(MAX(0.0001,G6^2-G5^2*SIN(RADIANS(80))^2)))</f>
        <v>-52.2577659640361</v>
      </c>
      <c r="E42" s="75"/>
      <c r="F42" s="76" t="str">
        <f aca="false">IF(G13=0,"",IFERROR((C42-MIN(C34:C70))/G13,""))</f>
        <v/>
      </c>
      <c r="G42" s="75"/>
    </row>
    <row r="43" customFormat="false" ht="18" hidden="false" customHeight="true" outlineLevel="0" collapsed="false">
      <c r="B43" s="67" t="n">
        <v>90</v>
      </c>
      <c r="C43" s="68" t="n">
        <f aca="false">G5*COS(RADIANS(90))+SQRT(MAX(0,G6^2-G5^2*SIN(RADIANS(90))^2))</f>
        <v>141.42135623731</v>
      </c>
      <c r="D43" s="69" t="n">
        <f aca="false">IF(90=0,"",-G5*SIN(RADIANS(90))-G5^2*SIN(RADIANS(90))*COS(RADIANS(90))/SQRT(MAX(0.0001,G6^2-G5^2*SIN(RADIANS(90))^2)))</f>
        <v>-50</v>
      </c>
      <c r="E43" s="70"/>
      <c r="F43" s="71" t="str">
        <f aca="false">IF(G13=0,"",IFERROR((C43-MIN(C34:C70))/G13,""))</f>
        <v/>
      </c>
      <c r="G43" s="70"/>
    </row>
    <row r="44" customFormat="false" ht="18" hidden="false" customHeight="true" outlineLevel="0" collapsed="false">
      <c r="B44" s="72" t="n">
        <v>100</v>
      </c>
      <c r="C44" s="73" t="n">
        <f aca="false">G5*COS(RADIANS(100))+SQRT(MAX(0,G6^2-G5^2*SIN(RADIANS(100))^2))</f>
        <v>133.005220160327</v>
      </c>
      <c r="D44" s="74" t="n">
        <f aca="false">IF(100=0,"",-G5*SIN(RADIANS(100))-G5^2*SIN(RADIANS(100))*COS(RADIANS(100))/SQRT(MAX(0.0001,G6^2-G5^2*SIN(RADIANS(100))^2)))</f>
        <v>-46.2230093371847</v>
      </c>
      <c r="E44" s="75"/>
      <c r="F44" s="76" t="str">
        <f aca="false">IF(G13=0,"",IFERROR((C44-MIN(C34:C70))/G13,""))</f>
        <v/>
      </c>
      <c r="G44" s="75"/>
    </row>
    <row r="45" customFormat="false" ht="18" hidden="false" customHeight="true" outlineLevel="0" collapsed="false">
      <c r="B45" s="67" t="n">
        <v>110</v>
      </c>
      <c r="C45" s="68" t="n">
        <f aca="false">G5*COS(RADIANS(110))+SQRT(MAX(0,G6^2-G5^2*SIN(RADIANS(110))^2))</f>
        <v>125.350544057637</v>
      </c>
      <c r="D45" s="69" t="n">
        <f aca="false">IF(110=0,"",-G5*SIN(RADIANS(110))-G5^2*SIN(RADIANS(110))*COS(RADIANS(110))/SQRT(MAX(0.0001,G6^2-G5^2*SIN(RADIANS(110))^2)))</f>
        <v>-41.3442255456047</v>
      </c>
      <c r="E45" s="70"/>
      <c r="F45" s="71" t="str">
        <f aca="false">IF(G13=0,"",IFERROR((C45-MIN(C34:C70))/G13,""))</f>
        <v/>
      </c>
      <c r="G45" s="70"/>
    </row>
    <row r="46" customFormat="false" ht="18" hidden="false" customHeight="true" outlineLevel="0" collapsed="false">
      <c r="B46" s="72" t="n">
        <v>120</v>
      </c>
      <c r="C46" s="73" t="n">
        <f aca="false">G5*COS(RADIANS(120))+SQRT(MAX(0,G6^2-G5^2*SIN(RADIANS(120))^2))</f>
        <v>118.614066163451</v>
      </c>
      <c r="D46" s="74" t="n">
        <f aca="false">IF(120=0,"",-G5*SIN(RADIANS(120))-G5^2*SIN(RADIANS(120))*COS(RADIANS(120))/SQRT(MAX(0.0001,G6^2-G5^2*SIN(RADIANS(120))^2)))</f>
        <v>-35.7634865747779</v>
      </c>
      <c r="E46" s="75"/>
      <c r="F46" s="76" t="str">
        <f aca="false">IF(G13=0,"",IFERROR((C46-MIN(C34:C70))/G13,""))</f>
        <v/>
      </c>
      <c r="G46" s="75"/>
    </row>
    <row r="47" customFormat="false" ht="18" hidden="false" customHeight="true" outlineLevel="0" collapsed="false">
      <c r="B47" s="67" t="n">
        <v>130</v>
      </c>
      <c r="C47" s="68" t="n">
        <f aca="false">G5*COS(RADIANS(130))+SQRT(MAX(0,G6^2-G5^2*SIN(RADIANS(130))^2))</f>
        <v>112.887995475925</v>
      </c>
      <c r="D47" s="69" t="n">
        <f aca="false">IF(130=0,"",-G5*SIN(RADIANS(130))-G5^2*SIN(RADIANS(130))*COS(RADIANS(130))/SQRT(MAX(0.0001,G6^2-G5^2*SIN(RADIANS(130))^2)))</f>
        <v>-29.8141027018491</v>
      </c>
      <c r="E47" s="70"/>
      <c r="F47" s="71" t="str">
        <f aca="false">IF(G13=0,"",IFERROR((C47-MIN(C34:C70))/G13,""))</f>
        <v/>
      </c>
      <c r="G47" s="70"/>
    </row>
    <row r="48" customFormat="false" ht="18" hidden="false" customHeight="true" outlineLevel="0" collapsed="false">
      <c r="B48" s="72" t="n">
        <v>140</v>
      </c>
      <c r="C48" s="73" t="n">
        <f aca="false">G5*COS(RADIANS(140))+SQRT(MAX(0,G6^2-G5^2*SIN(RADIANS(140))^2))</f>
        <v>108.214194064499</v>
      </c>
      <c r="D48" s="74" t="n">
        <f aca="false">IF(140=0,"",-G5*SIN(RADIANS(140))-G5^2*SIN(RADIANS(140))*COS(RADIANS(140))/SQRT(MAX(0.0001,G6^2-G5^2*SIN(RADIANS(140))^2)))</f>
        <v>-23.7375254361317</v>
      </c>
      <c r="E48" s="75"/>
      <c r="F48" s="76" t="str">
        <f aca="false">IF(G13=0,"",IFERROR((C48-MIN(C34:C70))/G13,""))</f>
        <v/>
      </c>
      <c r="G48" s="75"/>
    </row>
    <row r="49" customFormat="false" ht="18" hidden="false" customHeight="true" outlineLevel="0" collapsed="false">
      <c r="B49" s="67" t="n">
        <v>150</v>
      </c>
      <c r="C49" s="68" t="n">
        <f aca="false">G5*COS(RADIANS(150))+SQRT(MAX(0,G6^2-G5^2*SIN(RADIANS(150))^2))</f>
        <v>104.600724388268</v>
      </c>
      <c r="D49" s="69" t="n">
        <f aca="false">IF(150=0,"",-G5*SIN(RADIANS(150))-G5^2*SIN(RADIANS(150))*COS(RADIANS(150))/SQRT(MAX(0.0001,G6^2-G5^2*SIN(RADIANS(150))^2)))</f>
        <v>-17.680749452886</v>
      </c>
      <c r="E49" s="70"/>
      <c r="F49" s="71" t="str">
        <f aca="false">IF(G13=0,"",IFERROR((C49-MIN(C34:C70))/G13,""))</f>
        <v/>
      </c>
      <c r="G49" s="70"/>
    </row>
    <row r="50" customFormat="false" ht="18" hidden="false" customHeight="true" outlineLevel="0" collapsed="false">
      <c r="B50" s="72" t="n">
        <v>160</v>
      </c>
      <c r="C50" s="73" t="n">
        <f aca="false">G5*COS(RADIANS(160))+SQRT(MAX(0,G6^2-G5^2*SIN(RADIANS(160))^2))</f>
        <v>102.03736584002</v>
      </c>
      <c r="D50" s="74" t="n">
        <f aca="false">IF(160=0,"",-G5*SIN(RADIANS(160))-G5^2*SIN(RADIANS(160))*COS(RADIANS(160))/SQRT(MAX(0.0001,G6^2-G5^2*SIN(RADIANS(160))^2)))</f>
        <v>-11.709289641797</v>
      </c>
      <c r="E50" s="75"/>
      <c r="F50" s="76" t="str">
        <f aca="false">IF(G13=0,"",IFERROR((C50-MIN(C34:C70))/G13,""))</f>
        <v/>
      </c>
      <c r="G50" s="75"/>
    </row>
    <row r="51" customFormat="false" ht="18" hidden="false" customHeight="true" outlineLevel="0" collapsed="false">
      <c r="B51" s="67" t="n">
        <v>170</v>
      </c>
      <c r="C51" s="68" t="n">
        <f aca="false">G5*COS(RADIANS(170))+SQRT(MAX(0,G6^2-G5^2*SIN(RADIANS(170))^2))</f>
        <v>100.508120775959</v>
      </c>
      <c r="D51" s="69" t="n">
        <f aca="false">IF(170=0,"",-G5*SIN(RADIANS(170))-G5^2*SIN(RADIANS(170))*COS(RADIANS(170))/SQRT(MAX(0.0001,G6^2-G5^2*SIN(RADIANS(170))^2)))</f>
        <v>-5.82745437562449</v>
      </c>
      <c r="E51" s="70"/>
      <c r="F51" s="71" t="str">
        <f aca="false">IF(G13=0,"",IFERROR((C51-MIN(C34:C70))/G13,""))</f>
        <v/>
      </c>
      <c r="G51" s="70"/>
    </row>
    <row r="52" customFormat="false" ht="18" hidden="false" customHeight="true" outlineLevel="0" collapsed="false">
      <c r="B52" s="61" t="n">
        <v>180</v>
      </c>
      <c r="C52" s="62" t="n">
        <f aca="false">G5*COS(RADIANS(180))+SQRT(MAX(0,G6^2-G5^2*SIN(RADIANS(180))^2))</f>
        <v>100</v>
      </c>
      <c r="D52" s="63" t="n">
        <f aca="false">IF(180=0,"",-G5*SIN(RADIANS(180))-G5^2*SIN(RADIANS(180))*COS(RADIANS(180))/SQRT(MAX(0.0001,G6^2-G5^2*SIN(RADIANS(180))^2)))</f>
        <v>-4.08215599715784E-015</v>
      </c>
      <c r="E52" s="64"/>
      <c r="F52" s="65" t="str">
        <f aca="false">IF(G13=0,"",IFERROR((C52-MIN(C34:C70))/G13,""))</f>
        <v/>
      </c>
      <c r="G52" s="66" t="s">
        <v>155</v>
      </c>
    </row>
    <row r="53" customFormat="false" ht="18" hidden="false" customHeight="true" outlineLevel="0" collapsed="false">
      <c r="B53" s="67" t="n">
        <v>190</v>
      </c>
      <c r="C53" s="68" t="n">
        <f aca="false">G5*COS(RADIANS(190))+SQRT(MAX(0,G6^2-G5^2*SIN(RADIANS(190))^2))</f>
        <v>100.508120775959</v>
      </c>
      <c r="D53" s="69" t="n">
        <f aca="false">IF(190=0,"",-G5*SIN(RADIANS(190))-G5^2*SIN(RADIANS(190))*COS(RADIANS(190))/SQRT(MAX(0.0001,G6^2-G5^2*SIN(RADIANS(190))^2)))</f>
        <v>5.82745437562449</v>
      </c>
      <c r="E53" s="70"/>
      <c r="F53" s="71" t="str">
        <f aca="false">IF(G13=0,"",IFERROR((C53-MIN(C34:C70))/G13,""))</f>
        <v/>
      </c>
      <c r="G53" s="70"/>
    </row>
    <row r="54" customFormat="false" ht="18" hidden="false" customHeight="true" outlineLevel="0" collapsed="false">
      <c r="B54" s="72" t="n">
        <v>200</v>
      </c>
      <c r="C54" s="73" t="n">
        <f aca="false">G5*COS(RADIANS(200))+SQRT(MAX(0,G6^2-G5^2*SIN(RADIANS(200))^2))</f>
        <v>102.03736584002</v>
      </c>
      <c r="D54" s="74" t="n">
        <f aca="false">IF(200=0,"",-G5*SIN(RADIANS(200))-G5^2*SIN(RADIANS(200))*COS(RADIANS(200))/SQRT(MAX(0.0001,G6^2-G5^2*SIN(RADIANS(200))^2)))</f>
        <v>11.709289641797</v>
      </c>
      <c r="E54" s="75"/>
      <c r="F54" s="76" t="str">
        <f aca="false">IF(G13=0,"",IFERROR((C54-MIN(C34:C70))/G13,""))</f>
        <v/>
      </c>
      <c r="G54" s="75"/>
    </row>
    <row r="55" customFormat="false" ht="18" hidden="false" customHeight="true" outlineLevel="0" collapsed="false">
      <c r="B55" s="67" t="n">
        <v>210</v>
      </c>
      <c r="C55" s="68" t="n">
        <f aca="false">G5*COS(RADIANS(210))+SQRT(MAX(0,G6^2-G5^2*SIN(RADIANS(210))^2))</f>
        <v>104.600724388268</v>
      </c>
      <c r="D55" s="69" t="n">
        <f aca="false">IF(210=0,"",-G5*SIN(RADIANS(210))-G5^2*SIN(RADIANS(210))*COS(RADIANS(210))/SQRT(MAX(0.0001,G6^2-G5^2*SIN(RADIANS(210))^2)))</f>
        <v>17.680749452886</v>
      </c>
      <c r="E55" s="70"/>
      <c r="F55" s="71" t="str">
        <f aca="false">IF(G13=0,"",IFERROR((C55-MIN(C34:C70))/G13,""))</f>
        <v/>
      </c>
      <c r="G55" s="70"/>
    </row>
    <row r="56" customFormat="false" ht="18" hidden="false" customHeight="true" outlineLevel="0" collapsed="false">
      <c r="B56" s="72" t="n">
        <v>220</v>
      </c>
      <c r="C56" s="73" t="n">
        <f aca="false">G5*COS(RADIANS(220))+SQRT(MAX(0,G6^2-G5^2*SIN(RADIANS(220))^2))</f>
        <v>108.214194064499</v>
      </c>
      <c r="D56" s="74" t="n">
        <f aca="false">IF(220=0,"",-G5*SIN(RADIANS(220))-G5^2*SIN(RADIANS(220))*COS(RADIANS(220))/SQRT(MAX(0.0001,G6^2-G5^2*SIN(RADIANS(220))^2)))</f>
        <v>23.7375254361316</v>
      </c>
      <c r="E56" s="75"/>
      <c r="F56" s="76" t="str">
        <f aca="false">IF(G13=0,"",IFERROR((C56-MIN(C34:C70))/G13,""))</f>
        <v/>
      </c>
      <c r="G56" s="75"/>
    </row>
    <row r="57" customFormat="false" ht="18" hidden="false" customHeight="true" outlineLevel="0" collapsed="false">
      <c r="B57" s="67" t="n">
        <v>230</v>
      </c>
      <c r="C57" s="68" t="n">
        <f aca="false">G5*COS(RADIANS(230))+SQRT(MAX(0,G6^2-G5^2*SIN(RADIANS(230))^2))</f>
        <v>112.887995475925</v>
      </c>
      <c r="D57" s="69" t="n">
        <f aca="false">IF(230=0,"",-G5*SIN(RADIANS(230))-G5^2*SIN(RADIANS(230))*COS(RADIANS(230))/SQRT(MAX(0.0001,G6^2-G5^2*SIN(RADIANS(230))^2)))</f>
        <v>29.8141027018491</v>
      </c>
      <c r="E57" s="70"/>
      <c r="F57" s="71" t="str">
        <f aca="false">IF(G13=0,"",IFERROR((C57-MIN(C34:C70))/G13,""))</f>
        <v/>
      </c>
      <c r="G57" s="70"/>
    </row>
    <row r="58" customFormat="false" ht="18" hidden="false" customHeight="true" outlineLevel="0" collapsed="false">
      <c r="B58" s="72" t="n">
        <v>240</v>
      </c>
      <c r="C58" s="73" t="n">
        <f aca="false">G5*COS(RADIANS(240))+SQRT(MAX(0,G6^2-G5^2*SIN(RADIANS(240))^2))</f>
        <v>118.614066163451</v>
      </c>
      <c r="D58" s="74" t="n">
        <f aca="false">IF(240=0,"",-G5*SIN(RADIANS(240))-G5^2*SIN(RADIANS(240))*COS(RADIANS(240))/SQRT(MAX(0.0001,G6^2-G5^2*SIN(RADIANS(240))^2)))</f>
        <v>35.7634865747778</v>
      </c>
      <c r="E58" s="75"/>
      <c r="F58" s="76" t="str">
        <f aca="false">IF(G13=0,"",IFERROR((C58-MIN(C34:C70))/G13,""))</f>
        <v/>
      </c>
      <c r="G58" s="75"/>
    </row>
    <row r="59" customFormat="false" ht="18" hidden="false" customHeight="true" outlineLevel="0" collapsed="false">
      <c r="B59" s="67" t="n">
        <v>250</v>
      </c>
      <c r="C59" s="68" t="n">
        <f aca="false">G5*COS(RADIANS(250))+SQRT(MAX(0,G6^2-G5^2*SIN(RADIANS(250))^2))</f>
        <v>125.350544057637</v>
      </c>
      <c r="D59" s="69" t="n">
        <f aca="false">IF(250=0,"",-G5*SIN(RADIANS(250))-G5^2*SIN(RADIANS(250))*COS(RADIANS(250))/SQRT(MAX(0.0001,G6^2-G5^2*SIN(RADIANS(250))^2)))</f>
        <v>41.3442255456046</v>
      </c>
      <c r="E59" s="70"/>
      <c r="F59" s="71" t="str">
        <f aca="false">IF(G13=0,"",IFERROR((C59-MIN(C34:C70))/G13,""))</f>
        <v/>
      </c>
      <c r="G59" s="70"/>
    </row>
    <row r="60" customFormat="false" ht="18" hidden="false" customHeight="true" outlineLevel="0" collapsed="false">
      <c r="B60" s="72" t="n">
        <v>260</v>
      </c>
      <c r="C60" s="73" t="n">
        <f aca="false">G5*COS(RADIANS(260))+SQRT(MAX(0,G6^2-G5^2*SIN(RADIANS(260))^2))</f>
        <v>133.005220160327</v>
      </c>
      <c r="D60" s="74" t="n">
        <f aca="false">IF(260=0,"",-G5*SIN(RADIANS(260))-G5^2*SIN(RADIANS(260))*COS(RADIANS(260))/SQRT(MAX(0.0001,G6^2-G5^2*SIN(RADIANS(260))^2)))</f>
        <v>46.2230093371847</v>
      </c>
      <c r="E60" s="75"/>
      <c r="F60" s="76" t="str">
        <f aca="false">IF(G13=0,"",IFERROR((C60-MIN(C34:C70))/G13,""))</f>
        <v/>
      </c>
      <c r="G60" s="75"/>
    </row>
    <row r="61" customFormat="false" ht="18" hidden="false" customHeight="true" outlineLevel="0" collapsed="false">
      <c r="B61" s="67" t="n">
        <v>270</v>
      </c>
      <c r="C61" s="68" t="n">
        <f aca="false">G5*COS(RADIANS(270))+SQRT(MAX(0,G6^2-G5^2*SIN(RADIANS(270))^2))</f>
        <v>141.42135623731</v>
      </c>
      <c r="D61" s="69" t="n">
        <f aca="false">IF(270=0,"",-G5*SIN(RADIANS(270))-G5^2*SIN(RADIANS(270))*COS(RADIANS(270))/SQRT(MAX(0.0001,G6^2-G5^2*SIN(RADIANS(270))^2)))</f>
        <v>50</v>
      </c>
      <c r="E61" s="70"/>
      <c r="F61" s="71" t="str">
        <f aca="false">IF(G13=0,"",IFERROR((C61-MIN(C34:C70))/G13,""))</f>
        <v/>
      </c>
      <c r="G61" s="70"/>
    </row>
    <row r="62" customFormat="false" ht="18" hidden="false" customHeight="true" outlineLevel="0" collapsed="false">
      <c r="B62" s="72" t="n">
        <v>280</v>
      </c>
      <c r="C62" s="73" t="n">
        <f aca="false">G5*COS(RADIANS(280))+SQRT(MAX(0,G6^2-G5^2*SIN(RADIANS(280))^2))</f>
        <v>150.37003792702</v>
      </c>
      <c r="D62" s="74" t="n">
        <f aca="false">IF(280=0,"",-G5*SIN(RADIANS(280))-G5^2*SIN(RADIANS(280))*COS(RADIANS(280))/SQRT(MAX(0.0001,G6^2-G5^2*SIN(RADIANS(280))^2)))</f>
        <v>52.2577659640361</v>
      </c>
      <c r="E62" s="75"/>
      <c r="F62" s="76" t="str">
        <f aca="false">IF(G13=0,"",IFERROR((C62-MIN(C34:C70))/G13,""))</f>
        <v/>
      </c>
      <c r="G62" s="75"/>
    </row>
    <row r="63" customFormat="false" ht="18" hidden="false" customHeight="true" outlineLevel="0" collapsed="false">
      <c r="B63" s="67" t="n">
        <v>290</v>
      </c>
      <c r="C63" s="68" t="n">
        <f aca="false">G5*COS(RADIANS(290))+SQRT(MAX(0,G6^2-G5^2*SIN(RADIANS(290))^2))</f>
        <v>159.552558390204</v>
      </c>
      <c r="D63" s="69" t="n">
        <f aca="false">IF(290=0,"",-G5*SIN(RADIANS(290))-G5^2*SIN(RADIANS(290))*COS(RADIANS(290))/SQRT(MAX(0.0001,G6^2-G5^2*SIN(RADIANS(290))^2)))</f>
        <v>52.6250365329862</v>
      </c>
      <c r="E63" s="70"/>
      <c r="F63" s="71" t="str">
        <f aca="false">IF(G13=0,"",IFERROR((C63-MIN(C34:C70))/G13,""))</f>
        <v/>
      </c>
      <c r="G63" s="70"/>
    </row>
    <row r="64" customFormat="false" ht="18" hidden="false" customHeight="true" outlineLevel="0" collapsed="false">
      <c r="B64" s="72" t="n">
        <v>300</v>
      </c>
      <c r="C64" s="73" t="n">
        <f aca="false">G5*COS(RADIANS(300))+SQRT(MAX(0,G6^2-G5^2*SIN(RADIANS(300))^2))</f>
        <v>168.614066163451</v>
      </c>
      <c r="D64" s="74" t="n">
        <f aca="false">IF(300=0,"",-G5*SIN(RADIANS(300))-G5^2*SIN(RADIANS(300))*COS(RADIANS(300))/SQRT(MAX(0.0001,G6^2-G5^2*SIN(RADIANS(300))^2)))</f>
        <v>50.839053803666</v>
      </c>
      <c r="E64" s="75"/>
      <c r="F64" s="76" t="str">
        <f aca="false">IF(G13=0,"",IFERROR((C64-MIN(C34:C70))/G13,""))</f>
        <v/>
      </c>
      <c r="G64" s="75"/>
    </row>
    <row r="65" customFormat="false" ht="18" hidden="false" customHeight="true" outlineLevel="0" collapsed="false">
      <c r="B65" s="67" t="n">
        <v>310</v>
      </c>
      <c r="C65" s="68" t="n">
        <f aca="false">G5*COS(RADIANS(310))+SQRT(MAX(0,G6^2-G5^2*SIN(RADIANS(310))^2))</f>
        <v>177.166756444579</v>
      </c>
      <c r="D65" s="69" t="n">
        <f aca="false">IF(310=0,"",-G5*SIN(RADIANS(310))-G5^2*SIN(RADIANS(310))*COS(RADIANS(310))/SQRT(MAX(0.0001,G6^2-G5^2*SIN(RADIANS(310))^2)))</f>
        <v>46.7903416100487</v>
      </c>
      <c r="E65" s="70"/>
      <c r="F65" s="71" t="str">
        <f aca="false">IF(G13=0,"",IFERROR((C65-MIN(C34:C70))/G13,""))</f>
        <v/>
      </c>
      <c r="G65" s="70"/>
    </row>
    <row r="66" customFormat="false" ht="18" hidden="false" customHeight="true" outlineLevel="0" collapsed="false">
      <c r="B66" s="72" t="n">
        <v>320</v>
      </c>
      <c r="C66" s="73" t="n">
        <f aca="false">G5*COS(RADIANS(320))+SQRT(MAX(0,G6^2-G5^2*SIN(RADIANS(320))^2))</f>
        <v>184.818638376397</v>
      </c>
      <c r="D66" s="74" t="n">
        <f aca="false">IF(320=0,"",-G5*SIN(RADIANS(320))-G5^2*SIN(RADIANS(320))*COS(RADIANS(320))/SQRT(MAX(0.0001,G6^2-G5^2*SIN(RADIANS(320))^2)))</f>
        <v>40.5412355325223</v>
      </c>
      <c r="E66" s="75"/>
      <c r="F66" s="76" t="str">
        <f aca="false">IF(G13=0,"",IFERROR((C66-MIN(C34:C70))/G13,""))</f>
        <v/>
      </c>
      <c r="G66" s="75"/>
    </row>
    <row r="67" customFormat="false" ht="18" hidden="false" customHeight="true" outlineLevel="0" collapsed="false">
      <c r="B67" s="67" t="n">
        <v>330</v>
      </c>
      <c r="C67" s="68" t="n">
        <f aca="false">G5*COS(RADIANS(330))+SQRT(MAX(0,G6^2-G5^2*SIN(RADIANS(330))^2))</f>
        <v>191.203264766712</v>
      </c>
      <c r="D67" s="69" t="n">
        <f aca="false">IF(330=0,"",-G5*SIN(RADIANS(330))-G5^2*SIN(RADIANS(330))*COS(RADIANS(330))/SQRT(MAX(0.0001,G6^2-G5^2*SIN(RADIANS(330))^2)))</f>
        <v>32.319250547114</v>
      </c>
      <c r="E67" s="70"/>
      <c r="F67" s="71" t="str">
        <f aca="false">IF(G13=0,"",IFERROR((C67-MIN(C34:C70))/G13,""))</f>
        <v/>
      </c>
      <c r="G67" s="70"/>
    </row>
    <row r="68" customFormat="false" ht="18" hidden="false" customHeight="true" outlineLevel="0" collapsed="false">
      <c r="B68" s="72" t="n">
        <v>340</v>
      </c>
      <c r="C68" s="73" t="n">
        <f aca="false">G5*COS(RADIANS(340))+SQRT(MAX(0,G6^2-G5^2*SIN(RADIANS(340))^2))</f>
        <v>196.006627918611</v>
      </c>
      <c r="D68" s="74" t="n">
        <f aca="false">IF(340=0,"",-G5*SIN(RADIANS(340))-G5^2*SIN(RADIANS(340))*COS(RADIANS(340))/SQRT(MAX(0.0001,G6^2-G5^2*SIN(RADIANS(340))^2)))</f>
        <v>22.49272469077</v>
      </c>
      <c r="E68" s="75"/>
      <c r="F68" s="76" t="str">
        <f aca="false">IF(G13=0,"",IFERROR((C68-MIN(C34:C70))/G13,""))</f>
        <v/>
      </c>
      <c r="G68" s="75"/>
    </row>
    <row r="69" customFormat="false" ht="18" hidden="false" customHeight="true" outlineLevel="0" collapsed="false">
      <c r="B69" s="67" t="n">
        <v>350</v>
      </c>
      <c r="C69" s="68" t="n">
        <f aca="false">G5*COS(RADIANS(350))+SQRT(MAX(0,G6^2-G5^2*SIN(RADIANS(350))^2))</f>
        <v>198.98889607718</v>
      </c>
      <c r="D69" s="69" t="n">
        <f aca="false">IF(350=0,"",-G5*SIN(RADIANS(350))-G5^2*SIN(RADIANS(350))*COS(RADIANS(350))/SQRT(MAX(0.0001,G6^2-G5^2*SIN(RADIANS(350))^2)))</f>
        <v>11.5373633910686</v>
      </c>
      <c r="E69" s="70"/>
      <c r="F69" s="71" t="str">
        <f aca="false">IF(G13=0,"",IFERROR((C69-MIN(C34:C70))/G13,""))</f>
        <v/>
      </c>
      <c r="G69" s="70"/>
    </row>
    <row r="70" customFormat="false" ht="18" hidden="false" customHeight="true" outlineLevel="0" collapsed="false">
      <c r="B70" s="61" t="n">
        <v>360</v>
      </c>
      <c r="C70" s="62" t="n">
        <f aca="false">G5*COS(RADIANS(360))+SQRT(MAX(0,G6^2-G5^2*SIN(RADIANS(360))^2))</f>
        <v>200</v>
      </c>
      <c r="D70" s="63" t="n">
        <f aca="false">IF(360=0,"",-G5*SIN(RADIANS(360))-G5^2*SIN(RADIANS(360))*COS(RADIANS(360))/SQRT(MAX(0.0001,G6^2-G5^2*SIN(RADIANS(360))^2)))</f>
        <v>1.63286239886314E-014</v>
      </c>
      <c r="E70" s="64"/>
      <c r="F70" s="65" t="str">
        <f aca="false">IF(G13=0,"",IFERROR((C70-MIN(C34:C70))/G13,""))</f>
        <v/>
      </c>
      <c r="G70" s="66" t="s">
        <v>155</v>
      </c>
    </row>
  </sheetData>
  <mergeCells count="22">
    <mergeCell ref="A1:K1"/>
    <mergeCell ref="A2:K2"/>
    <mergeCell ref="A4:K4"/>
    <mergeCell ref="B5:F5"/>
    <mergeCell ref="B6:F6"/>
    <mergeCell ref="B7:F7"/>
    <mergeCell ref="B8:F8"/>
    <mergeCell ref="B9:F9"/>
    <mergeCell ref="A11:K11"/>
    <mergeCell ref="C12:G12"/>
    <mergeCell ref="C13:G13"/>
    <mergeCell ref="C14:G14"/>
    <mergeCell ref="C15:G15"/>
    <mergeCell ref="C16:G16"/>
    <mergeCell ref="C17:G17"/>
    <mergeCell ref="C18:G18"/>
    <mergeCell ref="A20:K20"/>
    <mergeCell ref="D21:G21"/>
    <mergeCell ref="D22:G22"/>
    <mergeCell ref="D23:G23"/>
    <mergeCell ref="A25:K25"/>
    <mergeCell ref="A32:K32"/>
  </mergeCells>
  <dataValidations count="1">
    <dataValidation allowBlank="false" errorStyle="stop" operator="between" showDropDown="false" showErrorMessage="false" showInputMessage="false" sqref="F27:F30" type="list">
      <formula1>"✅ 採用,⬜ 未検討,❌ 不採用"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6" min="5" style="0" width="16"/>
    <col collapsed="false" customWidth="true" hidden="false" outlineLevel="0" max="7" min="7" style="0" width="14"/>
    <col collapsed="false" customWidth="true" hidden="false" outlineLevel="0" max="9" min="8" style="0" width="18"/>
    <col collapsed="false" customWidth="true" hidden="false" outlineLevel="0" max="11" min="10" style="0" width="4"/>
  </cols>
  <sheetData>
    <row r="1" customFormat="false" ht="37.5" hidden="false" customHeight="true" outlineLevel="0" collapsed="false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7.75" hidden="false" customHeight="true" outlineLevel="0" collapsed="false">
      <c r="A4" s="3" t="s">
        <v>157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21.75" hidden="false" customHeight="true" outlineLevel="0" collapsed="false">
      <c r="B5" s="4" t="s">
        <v>158</v>
      </c>
      <c r="C5" s="77" t="s">
        <v>159</v>
      </c>
      <c r="D5" s="4" t="s">
        <v>160</v>
      </c>
      <c r="E5" s="4" t="s">
        <v>161</v>
      </c>
      <c r="F5" s="4" t="s">
        <v>162</v>
      </c>
      <c r="G5" s="4" t="s">
        <v>4</v>
      </c>
      <c r="H5" s="4" t="s">
        <v>163</v>
      </c>
    </row>
    <row r="6" customFormat="false" ht="21.75" hidden="false" customHeight="true" outlineLevel="0" collapsed="false">
      <c r="B6" s="78" t="n">
        <v>1</v>
      </c>
      <c r="C6" s="5" t="s">
        <v>164</v>
      </c>
      <c r="D6" s="79" t="n">
        <v>0.04</v>
      </c>
      <c r="E6" s="79" t="n">
        <v>0.08</v>
      </c>
      <c r="F6" s="79" t="n">
        <v>0.12</v>
      </c>
      <c r="G6" s="80" t="s">
        <v>165</v>
      </c>
      <c r="H6" s="53" t="s">
        <v>166</v>
      </c>
    </row>
    <row r="7" customFormat="false" ht="21.75" hidden="false" customHeight="true" outlineLevel="0" collapsed="false">
      <c r="B7" s="29" t="n">
        <v>1</v>
      </c>
      <c r="C7" s="9" t="s">
        <v>167</v>
      </c>
      <c r="D7" s="81" t="n">
        <v>0.08</v>
      </c>
      <c r="E7" s="81" t="n">
        <v>0.12</v>
      </c>
      <c r="F7" s="81" t="n">
        <v>0.18</v>
      </c>
      <c r="G7" s="82" t="s">
        <v>165</v>
      </c>
      <c r="H7" s="30" t="s">
        <v>168</v>
      </c>
    </row>
    <row r="8" customFormat="false" ht="21.75" hidden="false" customHeight="true" outlineLevel="0" collapsed="false">
      <c r="B8" s="78" t="n">
        <v>2</v>
      </c>
      <c r="C8" s="5" t="s">
        <v>164</v>
      </c>
      <c r="D8" s="79" t="n">
        <v>0.08</v>
      </c>
      <c r="E8" s="79" t="n">
        <v>0.14</v>
      </c>
      <c r="F8" s="79" t="n">
        <v>0.2</v>
      </c>
      <c r="G8" s="80" t="s">
        <v>165</v>
      </c>
      <c r="H8" s="53" t="s">
        <v>169</v>
      </c>
    </row>
    <row r="9" customFormat="false" ht="21.75" hidden="false" customHeight="true" outlineLevel="0" collapsed="false">
      <c r="B9" s="29" t="n">
        <v>2</v>
      </c>
      <c r="C9" s="9" t="s">
        <v>167</v>
      </c>
      <c r="D9" s="81" t="n">
        <v>0.14</v>
      </c>
      <c r="E9" s="81" t="n">
        <v>0.22</v>
      </c>
      <c r="F9" s="81" t="n">
        <v>0.3</v>
      </c>
      <c r="G9" s="82" t="s">
        <v>165</v>
      </c>
      <c r="H9" s="30" t="s">
        <v>170</v>
      </c>
    </row>
    <row r="10" customFormat="false" ht="21.75" hidden="false" customHeight="true" outlineLevel="0" collapsed="false">
      <c r="B10" s="78" t="n">
        <v>3</v>
      </c>
      <c r="C10" s="5" t="s">
        <v>164</v>
      </c>
      <c r="D10" s="79" t="n">
        <v>0.12</v>
      </c>
      <c r="E10" s="79" t="n">
        <v>0.2</v>
      </c>
      <c r="F10" s="79" t="n">
        <v>0.28</v>
      </c>
      <c r="G10" s="80" t="s">
        <v>165</v>
      </c>
      <c r="H10" s="53" t="s">
        <v>171</v>
      </c>
    </row>
    <row r="11" customFormat="false" ht="21.75" hidden="false" customHeight="true" outlineLevel="0" collapsed="false">
      <c r="B11" s="29" t="n">
        <v>3</v>
      </c>
      <c r="C11" s="9" t="s">
        <v>167</v>
      </c>
      <c r="D11" s="81" t="n">
        <v>0.2</v>
      </c>
      <c r="E11" s="81" t="n">
        <v>0.3</v>
      </c>
      <c r="F11" s="81" t="n">
        <v>0.4</v>
      </c>
      <c r="G11" s="82" t="s">
        <v>165</v>
      </c>
      <c r="H11" s="30" t="s">
        <v>172</v>
      </c>
    </row>
    <row r="12" customFormat="false" ht="21.75" hidden="false" customHeight="true" outlineLevel="0" collapsed="false">
      <c r="B12" s="78" t="n">
        <v>4</v>
      </c>
      <c r="C12" s="5" t="s">
        <v>167</v>
      </c>
      <c r="D12" s="79" t="n">
        <v>0.26</v>
      </c>
      <c r="E12" s="79" t="n">
        <v>0.38</v>
      </c>
      <c r="F12" s="79" t="n">
        <v>0.5</v>
      </c>
      <c r="G12" s="80" t="s">
        <v>165</v>
      </c>
      <c r="H12" s="53" t="s">
        <v>173</v>
      </c>
    </row>
    <row r="13" customFormat="false" ht="21.75" hidden="false" customHeight="true" outlineLevel="0" collapsed="false">
      <c r="B13" s="29" t="n">
        <v>5</v>
      </c>
      <c r="C13" s="9" t="s">
        <v>167</v>
      </c>
      <c r="D13" s="81" t="n">
        <v>0.3</v>
      </c>
      <c r="E13" s="81" t="n">
        <v>0.45</v>
      </c>
      <c r="F13" s="81" t="n">
        <v>0.6</v>
      </c>
      <c r="G13" s="82" t="s">
        <v>165</v>
      </c>
      <c r="H13" s="30" t="s">
        <v>174</v>
      </c>
    </row>
    <row r="15" customFormat="false" ht="27.75" hidden="false" customHeight="true" outlineLevel="0" collapsed="false">
      <c r="A15" s="3" t="s">
        <v>175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customFormat="false" ht="24" hidden="false" customHeight="true" outlineLevel="0" collapsed="false">
      <c r="B16" s="33" t="s">
        <v>176</v>
      </c>
      <c r="C16" s="33"/>
      <c r="D16" s="33"/>
      <c r="E16" s="33"/>
      <c r="F16" s="33"/>
      <c r="G16" s="45" t="n">
        <v>2</v>
      </c>
      <c r="H16" s="35" t="s">
        <v>101</v>
      </c>
    </row>
    <row r="17" customFormat="false" ht="24" hidden="false" customHeight="true" outlineLevel="0" collapsed="false">
      <c r="B17" s="33" t="s">
        <v>177</v>
      </c>
      <c r="C17" s="33"/>
      <c r="D17" s="33"/>
      <c r="E17" s="33"/>
      <c r="F17" s="33"/>
      <c r="G17" s="45" t="n">
        <v>20</v>
      </c>
      <c r="H17" s="35" t="s">
        <v>81</v>
      </c>
    </row>
    <row r="18" customFormat="false" ht="24" hidden="false" customHeight="true" outlineLevel="0" collapsed="false">
      <c r="B18" s="33" t="s">
        <v>178</v>
      </c>
      <c r="C18" s="33"/>
      <c r="D18" s="33"/>
      <c r="E18" s="33"/>
      <c r="F18" s="33"/>
      <c r="G18" s="45" t="n">
        <v>100</v>
      </c>
      <c r="H18" s="35" t="s">
        <v>78</v>
      </c>
    </row>
    <row r="19" customFormat="false" ht="24" hidden="false" customHeight="true" outlineLevel="0" collapsed="false">
      <c r="B19" s="33" t="s">
        <v>179</v>
      </c>
      <c r="C19" s="33"/>
      <c r="D19" s="33"/>
      <c r="E19" s="33"/>
      <c r="F19" s="33"/>
      <c r="G19" s="45" t="n">
        <v>100.2</v>
      </c>
      <c r="H19" s="35" t="s">
        <v>78</v>
      </c>
    </row>
    <row r="20" customFormat="false" ht="24" hidden="false" customHeight="true" outlineLevel="0" collapsed="false">
      <c r="B20" s="33" t="s">
        <v>180</v>
      </c>
      <c r="C20" s="33"/>
      <c r="D20" s="33"/>
      <c r="E20" s="33"/>
      <c r="F20" s="33"/>
      <c r="G20" s="45" t="n">
        <v>20</v>
      </c>
      <c r="H20" s="83" t="s">
        <v>181</v>
      </c>
    </row>
    <row r="22" customFormat="false" ht="24" hidden="false" customHeight="true" outlineLevel="0" collapsed="false">
      <c r="B22" s="36" t="s">
        <v>83</v>
      </c>
      <c r="C22" s="36" t="s">
        <v>84</v>
      </c>
      <c r="D22" s="36"/>
      <c r="E22" s="36"/>
      <c r="F22" s="36"/>
      <c r="G22" s="36"/>
      <c r="H22" s="36" t="s">
        <v>85</v>
      </c>
      <c r="I22" s="36" t="s">
        <v>86</v>
      </c>
    </row>
    <row r="23" customFormat="false" ht="24" hidden="false" customHeight="true" outlineLevel="0" collapsed="false">
      <c r="B23" s="37" t="s">
        <v>182</v>
      </c>
      <c r="C23" s="84" t="n">
        <f aca="false">G20-G19</f>
        <v>-80.2</v>
      </c>
      <c r="D23" s="84"/>
      <c r="E23" s="84"/>
      <c r="F23" s="84"/>
      <c r="G23" s="84"/>
      <c r="H23" s="39" t="s">
        <v>78</v>
      </c>
      <c r="I23" s="85" t="str">
        <f aca="false">IF(ABS(G23)&lt;=0.05,"✅ 良好",IF(ABS(G23)&lt;=0.15,"⚠️ 要確認","🔴 要調整"))</f>
        <v>✅ 良好</v>
      </c>
    </row>
    <row r="24" customFormat="false" ht="24" hidden="false" customHeight="true" outlineLevel="0" collapsed="false">
      <c r="B24" s="41" t="s">
        <v>183</v>
      </c>
      <c r="C24" s="84" t="n">
        <f aca="false">2*G23*TAN(RADIANS(G17))</f>
        <v>0</v>
      </c>
      <c r="D24" s="84"/>
      <c r="E24" s="84"/>
      <c r="F24" s="84"/>
      <c r="G24" s="84"/>
      <c r="H24" s="42" t="s">
        <v>78</v>
      </c>
      <c r="I24" s="86" t="str">
        <f aca="false">IF(G24&lt;0,"—",IF(G24&lt;=0.3,"✅ 適正範囲",IF(G24&lt;=0.5,"⚠️ 大きめ","🔴 要対策")))</f>
        <v>✅ 適正範囲</v>
      </c>
    </row>
    <row r="25" customFormat="false" ht="24" hidden="false" customHeight="true" outlineLevel="0" collapsed="false">
      <c r="B25" s="37" t="s">
        <v>184</v>
      </c>
      <c r="C25" s="84" t="n">
        <f aca="false">G16*G20</f>
        <v>40</v>
      </c>
      <c r="D25" s="84"/>
      <c r="E25" s="84"/>
      <c r="F25" s="84"/>
      <c r="G25" s="84"/>
      <c r="H25" s="39" t="s">
        <v>78</v>
      </c>
      <c r="I25" s="59"/>
    </row>
    <row r="26" customFormat="false" ht="24" hidden="false" customHeight="true" outlineLevel="0" collapsed="false">
      <c r="B26" s="41" t="s">
        <v>185</v>
      </c>
      <c r="C26" s="84" t="n">
        <f aca="false">G25+2*G16</f>
        <v>4</v>
      </c>
      <c r="D26" s="84"/>
      <c r="E26" s="84"/>
      <c r="F26" s="84"/>
      <c r="G26" s="84"/>
      <c r="H26" s="42" t="s">
        <v>78</v>
      </c>
      <c r="I26" s="59"/>
    </row>
    <row r="27" customFormat="false" ht="24" hidden="false" customHeight="true" outlineLevel="0" collapsed="false">
      <c r="B27" s="37" t="s">
        <v>186</v>
      </c>
      <c r="C27" s="84" t="n">
        <f aca="false">G25/2+G16*G20/2-0.08/(2*TAN(RADIANS(G17)))</f>
        <v>19.8901009032218</v>
      </c>
      <c r="D27" s="84"/>
      <c r="E27" s="84"/>
      <c r="F27" s="84"/>
      <c r="G27" s="84"/>
      <c r="H27" s="39" t="s">
        <v>78</v>
      </c>
      <c r="I27" s="85" t="str">
        <f aca="false">IF(G19&gt;=G27,"✅ OK","⚠️ センタ距離を広げてBL確保")</f>
        <v>✅ OK</v>
      </c>
    </row>
    <row r="29" customFormat="false" ht="27.75" hidden="false" customHeight="true" outlineLevel="0" collapsed="false">
      <c r="A29" s="3" t="s">
        <v>187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customFormat="false" ht="21.75" hidden="false" customHeight="true" outlineLevel="0" collapsed="false">
      <c r="B30" s="4" t="s">
        <v>188</v>
      </c>
      <c r="C30" s="4" t="s">
        <v>189</v>
      </c>
      <c r="D30" s="4" t="s">
        <v>133</v>
      </c>
      <c r="E30" s="4" t="s">
        <v>190</v>
      </c>
      <c r="F30" s="4" t="s">
        <v>134</v>
      </c>
      <c r="G30" s="4" t="s">
        <v>191</v>
      </c>
      <c r="H30" s="4" t="s">
        <v>46</v>
      </c>
    </row>
    <row r="31" customFormat="false" ht="21.75" hidden="false" customHeight="true" outlineLevel="0" collapsed="false">
      <c r="B31" s="87" t="s">
        <v>192</v>
      </c>
      <c r="C31" s="57" t="s">
        <v>25</v>
      </c>
      <c r="D31" s="57" t="s">
        <v>193</v>
      </c>
      <c r="E31" s="88" t="s">
        <v>194</v>
      </c>
      <c r="F31" s="26" t="s">
        <v>195</v>
      </c>
      <c r="G31" s="89"/>
      <c r="H31" s="26"/>
    </row>
    <row r="32" customFormat="false" ht="21.75" hidden="false" customHeight="true" outlineLevel="0" collapsed="false">
      <c r="B32" s="56" t="s">
        <v>196</v>
      </c>
      <c r="C32" s="10" t="s">
        <v>197</v>
      </c>
      <c r="D32" s="10" t="s">
        <v>31</v>
      </c>
      <c r="E32" s="9" t="s">
        <v>198</v>
      </c>
      <c r="F32" s="12" t="s">
        <v>199</v>
      </c>
      <c r="G32" s="67"/>
      <c r="H32" s="12"/>
    </row>
    <row r="33" customFormat="false" ht="21.75" hidden="false" customHeight="true" outlineLevel="0" collapsed="false">
      <c r="B33" s="87" t="s">
        <v>200</v>
      </c>
      <c r="C33" s="57" t="s">
        <v>201</v>
      </c>
      <c r="D33" s="57" t="s">
        <v>202</v>
      </c>
      <c r="E33" s="88" t="s">
        <v>198</v>
      </c>
      <c r="F33" s="26" t="s">
        <v>203</v>
      </c>
      <c r="G33" s="89"/>
      <c r="H33" s="26"/>
    </row>
    <row r="34" customFormat="false" ht="21.75" hidden="false" customHeight="true" outlineLevel="0" collapsed="false">
      <c r="B34" s="56" t="s">
        <v>204</v>
      </c>
      <c r="C34" s="10" t="s">
        <v>201</v>
      </c>
      <c r="D34" s="10" t="s">
        <v>193</v>
      </c>
      <c r="E34" s="9" t="s">
        <v>205</v>
      </c>
      <c r="F34" s="12" t="s">
        <v>206</v>
      </c>
      <c r="G34" s="67"/>
      <c r="H34" s="12"/>
    </row>
    <row r="36" customFormat="false" ht="27.75" hidden="false" customHeight="true" outlineLevel="0" collapsed="false">
      <c r="A36" s="3" t="s">
        <v>207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customFormat="false" ht="21.75" hidden="false" customHeight="true" outlineLevel="0" collapsed="false">
      <c r="B37" s="4" t="s">
        <v>208</v>
      </c>
      <c r="C37" s="4" t="s">
        <v>209</v>
      </c>
      <c r="D37" s="4" t="s">
        <v>210</v>
      </c>
      <c r="E37" s="4" t="s">
        <v>211</v>
      </c>
      <c r="F37" s="4" t="s">
        <v>86</v>
      </c>
      <c r="G37" s="4" t="s">
        <v>212</v>
      </c>
    </row>
    <row r="38" customFormat="false" ht="21.75" hidden="false" customHeight="true" outlineLevel="0" collapsed="false">
      <c r="B38" s="75"/>
      <c r="C38" s="75"/>
      <c r="D38" s="75"/>
      <c r="E38" s="90"/>
      <c r="F38" s="75"/>
      <c r="G38" s="75"/>
    </row>
    <row r="39" customFormat="false" ht="21.75" hidden="false" customHeight="true" outlineLevel="0" collapsed="false">
      <c r="B39" s="70"/>
      <c r="C39" s="70"/>
      <c r="D39" s="70"/>
      <c r="E39" s="91"/>
      <c r="F39" s="70"/>
      <c r="G39" s="70"/>
    </row>
    <row r="40" customFormat="false" ht="21.75" hidden="false" customHeight="true" outlineLevel="0" collapsed="false">
      <c r="B40" s="75"/>
      <c r="C40" s="75"/>
      <c r="D40" s="75"/>
      <c r="E40" s="90"/>
      <c r="F40" s="75"/>
      <c r="G40" s="75"/>
    </row>
    <row r="41" customFormat="false" ht="21.75" hidden="false" customHeight="true" outlineLevel="0" collapsed="false">
      <c r="B41" s="70"/>
      <c r="C41" s="70"/>
      <c r="D41" s="70"/>
      <c r="E41" s="91"/>
      <c r="F41" s="70"/>
      <c r="G41" s="70"/>
    </row>
    <row r="42" customFormat="false" ht="21.75" hidden="false" customHeight="true" outlineLevel="0" collapsed="false">
      <c r="B42" s="75"/>
      <c r="C42" s="75"/>
      <c r="D42" s="75"/>
      <c r="E42" s="90"/>
      <c r="F42" s="75"/>
      <c r="G42" s="75"/>
    </row>
    <row r="43" customFormat="false" ht="21.75" hidden="false" customHeight="true" outlineLevel="0" collapsed="false">
      <c r="B43" s="70"/>
      <c r="C43" s="70"/>
      <c r="D43" s="70"/>
      <c r="E43" s="91"/>
      <c r="F43" s="70"/>
      <c r="G43" s="70"/>
    </row>
    <row r="44" customFormat="false" ht="21.75" hidden="false" customHeight="true" outlineLevel="0" collapsed="false">
      <c r="B44" s="75"/>
      <c r="C44" s="75"/>
      <c r="D44" s="75"/>
      <c r="E44" s="90"/>
      <c r="F44" s="75"/>
      <c r="G44" s="75"/>
    </row>
    <row r="45" customFormat="false" ht="21.75" hidden="false" customHeight="true" outlineLevel="0" collapsed="false">
      <c r="B45" s="70"/>
      <c r="C45" s="70"/>
      <c r="D45" s="70"/>
      <c r="E45" s="91"/>
      <c r="F45" s="70"/>
      <c r="G45" s="70"/>
    </row>
    <row r="47" customFormat="false" ht="30" hidden="false" customHeight="true" outlineLevel="0" collapsed="false">
      <c r="A47" s="44" t="s">
        <v>213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</sheetData>
  <mergeCells count="18">
    <mergeCell ref="A1:K1"/>
    <mergeCell ref="A2:K2"/>
    <mergeCell ref="A4:K4"/>
    <mergeCell ref="A15:K15"/>
    <mergeCell ref="B16:F16"/>
    <mergeCell ref="B17:F17"/>
    <mergeCell ref="B18:F18"/>
    <mergeCell ref="B19:F19"/>
    <mergeCell ref="B20:F20"/>
    <mergeCell ref="C22:G22"/>
    <mergeCell ref="C23:G23"/>
    <mergeCell ref="C24:G24"/>
    <mergeCell ref="C25:G25"/>
    <mergeCell ref="C26:G26"/>
    <mergeCell ref="C27:G27"/>
    <mergeCell ref="A29:K29"/>
    <mergeCell ref="A36:K36"/>
    <mergeCell ref="A47:K47"/>
  </mergeCells>
  <dataValidations count="1">
    <dataValidation allowBlank="false" errorStyle="stop" operator="between" showDropDown="false" showErrorMessage="false" showInputMessage="false" sqref="G31:G34" type="list">
      <formula1>"✅ 採用,⬜ 未検討,❌ 不採用"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22"/>
  </cols>
  <sheetData>
    <row r="1" customFormat="false" ht="36" hidden="false" customHeight="true" outlineLevel="0" collapsed="false">
      <c r="A1" s="92" t="s">
        <v>214</v>
      </c>
      <c r="B1" s="92"/>
      <c r="C1" s="92"/>
      <c r="D1" s="92"/>
      <c r="E1" s="92"/>
      <c r="F1" s="92"/>
    </row>
    <row r="3" customFormat="false" ht="27.75" hidden="false" customHeight="true" outlineLevel="0" collapsed="false">
      <c r="A3" s="3" t="s">
        <v>215</v>
      </c>
      <c r="B3" s="3"/>
      <c r="C3" s="3"/>
      <c r="D3" s="3"/>
      <c r="E3" s="3"/>
      <c r="F3" s="3"/>
    </row>
    <row r="4" customFormat="false" ht="18" hidden="false" customHeight="true" outlineLevel="0" collapsed="false">
      <c r="A4" s="93" t="s">
        <v>216</v>
      </c>
      <c r="B4" s="93"/>
      <c r="C4" s="93"/>
      <c r="D4" s="93"/>
      <c r="E4" s="93"/>
      <c r="F4" s="93"/>
    </row>
    <row r="5" customFormat="false" ht="18" hidden="false" customHeight="true" outlineLevel="0" collapsed="false">
      <c r="A5" s="93"/>
      <c r="B5" s="93"/>
      <c r="C5" s="93"/>
      <c r="D5" s="93"/>
      <c r="E5" s="93"/>
      <c r="F5" s="93"/>
    </row>
    <row r="6" customFormat="false" ht="18" hidden="false" customHeight="true" outlineLevel="0" collapsed="false">
      <c r="A6" s="93"/>
      <c r="B6" s="93"/>
      <c r="C6" s="93"/>
      <c r="D6" s="93"/>
      <c r="E6" s="93"/>
      <c r="F6" s="93"/>
    </row>
    <row r="7" customFormat="false" ht="18" hidden="false" customHeight="true" outlineLevel="0" collapsed="false">
      <c r="A7" s="93"/>
      <c r="B7" s="93"/>
      <c r="C7" s="93"/>
      <c r="D7" s="93"/>
      <c r="E7" s="93"/>
      <c r="F7" s="93"/>
    </row>
    <row r="8" customFormat="false" ht="18" hidden="false" customHeight="true" outlineLevel="0" collapsed="false">
      <c r="A8" s="93"/>
      <c r="B8" s="93"/>
      <c r="C8" s="93"/>
      <c r="D8" s="93"/>
      <c r="E8" s="93"/>
      <c r="F8" s="93"/>
    </row>
    <row r="10" customFormat="false" ht="27.75" hidden="false" customHeight="true" outlineLevel="0" collapsed="false">
      <c r="A10" s="3" t="s">
        <v>217</v>
      </c>
      <c r="B10" s="3"/>
      <c r="C10" s="3"/>
      <c r="D10" s="3"/>
      <c r="E10" s="3"/>
      <c r="F10" s="3"/>
    </row>
    <row r="11" customFormat="false" ht="18" hidden="false" customHeight="true" outlineLevel="0" collapsed="false">
      <c r="A11" s="93" t="s">
        <v>218</v>
      </c>
      <c r="B11" s="93"/>
      <c r="C11" s="93"/>
      <c r="D11" s="93"/>
      <c r="E11" s="93"/>
      <c r="F11" s="93"/>
    </row>
    <row r="12" customFormat="false" ht="18" hidden="false" customHeight="true" outlineLevel="0" collapsed="false">
      <c r="A12" s="93"/>
      <c r="B12" s="93"/>
      <c r="C12" s="93"/>
      <c r="D12" s="93"/>
      <c r="E12" s="93"/>
      <c r="F12" s="93"/>
    </row>
    <row r="13" customFormat="false" ht="18" hidden="false" customHeight="true" outlineLevel="0" collapsed="false">
      <c r="A13" s="93"/>
      <c r="B13" s="93"/>
      <c r="C13" s="93"/>
      <c r="D13" s="93"/>
      <c r="E13" s="93"/>
      <c r="F13" s="93"/>
    </row>
    <row r="14" customFormat="false" ht="18" hidden="false" customHeight="true" outlineLevel="0" collapsed="false">
      <c r="A14" s="93"/>
      <c r="B14" s="93"/>
      <c r="C14" s="93"/>
      <c r="D14" s="93"/>
      <c r="E14" s="93"/>
      <c r="F14" s="93"/>
    </row>
    <row r="15" customFormat="false" ht="18" hidden="false" customHeight="true" outlineLevel="0" collapsed="false">
      <c r="A15" s="93"/>
      <c r="B15" s="93"/>
      <c r="C15" s="93"/>
      <c r="D15" s="93"/>
      <c r="E15" s="93"/>
      <c r="F15" s="93"/>
    </row>
    <row r="17" customFormat="false" ht="27.75" hidden="false" customHeight="true" outlineLevel="0" collapsed="false">
      <c r="A17" s="3" t="s">
        <v>219</v>
      </c>
      <c r="B17" s="3"/>
      <c r="C17" s="3"/>
      <c r="D17" s="3"/>
      <c r="E17" s="3"/>
      <c r="F17" s="3"/>
    </row>
    <row r="18" customFormat="false" ht="18" hidden="false" customHeight="true" outlineLevel="0" collapsed="false">
      <c r="A18" s="93" t="s">
        <v>220</v>
      </c>
      <c r="B18" s="93"/>
      <c r="C18" s="93"/>
      <c r="D18" s="93"/>
      <c r="E18" s="93"/>
      <c r="F18" s="93"/>
    </row>
    <row r="19" customFormat="false" ht="18" hidden="false" customHeight="true" outlineLevel="0" collapsed="false">
      <c r="A19" s="93"/>
      <c r="B19" s="93"/>
      <c r="C19" s="93"/>
      <c r="D19" s="93"/>
      <c r="E19" s="93"/>
      <c r="F19" s="93"/>
    </row>
    <row r="20" customFormat="false" ht="18" hidden="false" customHeight="true" outlineLevel="0" collapsed="false">
      <c r="A20" s="93"/>
      <c r="B20" s="93"/>
      <c r="C20" s="93"/>
      <c r="D20" s="93"/>
      <c r="E20" s="93"/>
      <c r="F20" s="93"/>
    </row>
    <row r="21" customFormat="false" ht="18" hidden="false" customHeight="true" outlineLevel="0" collapsed="false">
      <c r="A21" s="93"/>
      <c r="B21" s="93"/>
      <c r="C21" s="93"/>
      <c r="D21" s="93"/>
      <c r="E21" s="93"/>
      <c r="F21" s="93"/>
    </row>
    <row r="22" customFormat="false" ht="18" hidden="false" customHeight="true" outlineLevel="0" collapsed="false">
      <c r="A22" s="93"/>
      <c r="B22" s="93"/>
      <c r="C22" s="93"/>
      <c r="D22" s="93"/>
      <c r="E22" s="93"/>
      <c r="F22" s="93"/>
    </row>
    <row r="24" customFormat="false" ht="27.75" hidden="false" customHeight="true" outlineLevel="0" collapsed="false">
      <c r="A24" s="3" t="s">
        <v>221</v>
      </c>
      <c r="B24" s="3"/>
      <c r="C24" s="3"/>
      <c r="D24" s="3"/>
      <c r="E24" s="3"/>
      <c r="F24" s="3"/>
    </row>
    <row r="25" customFormat="false" ht="18" hidden="false" customHeight="true" outlineLevel="0" collapsed="false">
      <c r="A25" s="94" t="s">
        <v>222</v>
      </c>
      <c r="B25" s="94"/>
      <c r="C25" s="94"/>
      <c r="D25" s="94"/>
      <c r="E25" s="94"/>
      <c r="F25" s="94"/>
    </row>
    <row r="26" customFormat="false" ht="18" hidden="false" customHeight="true" outlineLevel="0" collapsed="false">
      <c r="A26" s="94"/>
      <c r="B26" s="94"/>
      <c r="C26" s="94"/>
      <c r="D26" s="94"/>
      <c r="E26" s="94"/>
      <c r="F26" s="94"/>
    </row>
    <row r="27" customFormat="false" ht="18" hidden="false" customHeight="true" outlineLevel="0" collapsed="false">
      <c r="A27" s="94"/>
      <c r="B27" s="94"/>
      <c r="C27" s="94"/>
      <c r="D27" s="94"/>
      <c r="E27" s="94"/>
      <c r="F27" s="94"/>
    </row>
    <row r="28" customFormat="false" ht="18" hidden="false" customHeight="true" outlineLevel="0" collapsed="false">
      <c r="A28" s="94"/>
      <c r="B28" s="94"/>
      <c r="C28" s="94"/>
      <c r="D28" s="94"/>
      <c r="E28" s="94"/>
      <c r="F28" s="94"/>
    </row>
    <row r="29" customFormat="false" ht="18" hidden="false" customHeight="true" outlineLevel="0" collapsed="false">
      <c r="A29" s="94"/>
      <c r="B29" s="94"/>
      <c r="C29" s="94"/>
      <c r="D29" s="94"/>
      <c r="E29" s="94"/>
      <c r="F29" s="94"/>
    </row>
    <row r="31" customFormat="false" ht="27.75" hidden="false" customHeight="true" outlineLevel="0" collapsed="false">
      <c r="A31" s="3" t="s">
        <v>223</v>
      </c>
      <c r="B31" s="3"/>
      <c r="C31" s="3"/>
      <c r="D31" s="3"/>
      <c r="E31" s="3"/>
      <c r="F31" s="3"/>
    </row>
    <row r="32" customFormat="false" ht="18" hidden="false" customHeight="true" outlineLevel="0" collapsed="false">
      <c r="A32" s="94" t="s">
        <v>224</v>
      </c>
      <c r="B32" s="94"/>
      <c r="C32" s="94"/>
      <c r="D32" s="94"/>
      <c r="E32" s="94"/>
      <c r="F32" s="94"/>
    </row>
    <row r="33" customFormat="false" ht="18" hidden="false" customHeight="true" outlineLevel="0" collapsed="false">
      <c r="A33" s="94"/>
      <c r="B33" s="94"/>
      <c r="C33" s="94"/>
      <c r="D33" s="94"/>
      <c r="E33" s="94"/>
      <c r="F33" s="94"/>
    </row>
    <row r="34" customFormat="false" ht="18" hidden="false" customHeight="true" outlineLevel="0" collapsed="false">
      <c r="A34" s="94"/>
      <c r="B34" s="94"/>
      <c r="C34" s="94"/>
      <c r="D34" s="94"/>
      <c r="E34" s="94"/>
      <c r="F34" s="94"/>
    </row>
    <row r="35" customFormat="false" ht="18" hidden="false" customHeight="true" outlineLevel="0" collapsed="false">
      <c r="A35" s="94"/>
      <c r="B35" s="94"/>
      <c r="C35" s="94"/>
      <c r="D35" s="94"/>
      <c r="E35" s="94"/>
      <c r="F35" s="94"/>
    </row>
    <row r="36" customFormat="false" ht="18" hidden="false" customHeight="true" outlineLevel="0" collapsed="false">
      <c r="A36" s="94"/>
      <c r="B36" s="94"/>
      <c r="C36" s="94"/>
      <c r="D36" s="94"/>
      <c r="E36" s="94"/>
      <c r="F36" s="94"/>
    </row>
  </sheetData>
  <mergeCells count="11">
    <mergeCell ref="A1:F1"/>
    <mergeCell ref="A3:F3"/>
    <mergeCell ref="A4:F8"/>
    <mergeCell ref="A10:F10"/>
    <mergeCell ref="A11:F15"/>
    <mergeCell ref="A17:F17"/>
    <mergeCell ref="A18:F22"/>
    <mergeCell ref="A24:F24"/>
    <mergeCell ref="A25:F29"/>
    <mergeCell ref="A31:F31"/>
    <mergeCell ref="A32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2026-05-19T11:47:23Z</dcterms:created>
  <dc:creator>openpyxl</dc:creator>
  <dc:description/>
  <dc:language>en-US</dc:language>
  <cp:lastModifiedBy/>
  <dcterms:modified xsi:type="dcterms:W3CDTF">2026-05-19T11:47:23Z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